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8" r:id="rId1"/>
    <sheet name="Сводка затрат" sheetId="4" r:id="rId2"/>
    <sheet name="НМЦ лота" sheetId="5" state="hidden" r:id="rId3"/>
    <sheet name="Лист1" sheetId="6" state="hidden" r:id="rId4"/>
  </sheets>
  <calcPr calcId="152511"/>
</workbook>
</file>

<file path=xl/calcChain.xml><?xml version="1.0" encoding="utf-8"?>
<calcChain xmlns="http://schemas.openxmlformats.org/spreadsheetml/2006/main">
  <c r="B8" i="8" l="1"/>
  <c r="U3" i="8" l="1"/>
  <c r="H8" i="8"/>
  <c r="U8" i="8"/>
  <c r="G23" i="6"/>
  <c r="F23" i="6"/>
  <c r="E23" i="6"/>
  <c r="D23" i="6"/>
  <c r="H23" i="6" s="1"/>
  <c r="C23" i="6"/>
  <c r="B23" i="6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F5" i="6" s="1"/>
  <c r="E6" i="6"/>
  <c r="D6" i="6"/>
  <c r="C6" i="6"/>
  <c r="C5" i="6" s="1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R8" i="8" l="1"/>
  <c r="V8" i="8"/>
  <c r="D5" i="6"/>
  <c r="E5" i="6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E8" i="6"/>
  <c r="F8" i="6"/>
  <c r="B10" i="6"/>
  <c r="C10" i="6"/>
  <c r="C13" i="6" s="1"/>
  <c r="D10" i="6"/>
  <c r="D13" i="6" s="1"/>
  <c r="E10" i="6"/>
  <c r="F10" i="6"/>
  <c r="G10" i="6"/>
  <c r="B11" i="6"/>
  <c r="C11" i="6"/>
  <c r="D11" i="6"/>
  <c r="E11" i="6"/>
  <c r="F11" i="6"/>
  <c r="G11" i="6"/>
  <c r="F13" i="6" l="1"/>
  <c r="E13" i="6"/>
  <c r="H13" i="6" s="1"/>
  <c r="D27" i="6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<sst xmlns="http://schemas.openxmlformats.org/spreadsheetml/2006/main" count="248" uniqueCount="146">
  <si>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</si>
  <si>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</si>
  <si>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</si>
  <si>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</si>
  <si>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</si>
  <si>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</si>
  <si>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</si>
  <si>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</si>
  <si>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</si>
  <si>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</si>
  <si>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</si>
  <si>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</si>
  <si>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</si>
  <si>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</si>
  <si>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</si>
  <si>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</si>
  <si>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</si>
  <si>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</si>
  <si>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</si>
  <si>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</si>
  <si>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</si>
  <si>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</si>
  <si>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</si>
  <si>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</si>
  <si>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</si>
  <si>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</si>
  <si>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</si>
  <si>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</si>
  <si>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</si>
  <si>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</si>
  <si>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</si>
  <si>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</si>
  <si>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</si>
  <si>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</si>
  <si>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</si>
  <si>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</si>
  <si>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</si>
  <si>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</si>
  <si>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</si>
  <si>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</si>
  <si>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</si>
  <si>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</si>
  <si>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</si>
  <si>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</si>
  <si>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</si>
  <si>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</si>
  <si>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</si>
  <si>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</si>
  <si>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</si>
  <si>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</si>
  <si>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</si>
  <si>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</si>
  <si>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</si>
  <si>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</si>
  <si>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</si>
  <si>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</si>
  <si>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</si>
  <si>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</si>
  <si>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</si>
  <si>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</si>
  <si>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</si>
  <si>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</si>
  <si>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</si>
  <si>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</si>
  <si>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</si>
  <si>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</si>
  <si>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</si>
  <si>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</si>
  <si>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</si>
  <si>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</si>
  <si>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</si>
  <si>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</si>
  <si>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</si>
  <si>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</si>
  <si>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</si>
  <si>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</si>
  <si>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</si>
  <si>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</si>
  <si>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</si>
  <si>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</si>
  <si>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</si>
  <si>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</si>
  <si>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</si>
  <si>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3                                                                                                 Плановая стоимость объекта в прогнозных ценах 2019 года  с учетом применения методики снижения инвестиционных затрат на 30% относительно уровня 2012года 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</si>
  <si>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</si>
  <si>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2019 год</t>
  </si>
  <si>
    <t>Плановая стоимость объекта в прогнозных ценах 2019 года с учетом применения методики 30% снижения</t>
  </si>
  <si>
    <t>Стоимость лота в прогнозных ценах с учетом индексов-дефляторов в ценах 2019 г.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</si>
  <si>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</si>
  <si>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</si>
  <si>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</si>
  <si>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</si>
  <si>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</si>
  <si>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</si>
  <si>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</si>
  <si>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</si>
  <si>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</si>
  <si>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</si>
  <si>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</si>
  <si>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</si>
  <si>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</si>
  <si>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</si>
  <si>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</si>
  <si>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</si>
  <si>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</si>
  <si>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</si>
  <si>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</si>
  <si>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</si>
  <si>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</si>
  <si>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</si>
  <si>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</si>
  <si>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</si>
  <si>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</si>
  <si>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</si>
  <si>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</si>
  <si>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</si>
  <si>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</si>
  <si>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</si>
  <si>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</si>
  <si>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</si>
  <si>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</si>
  <si>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</si>
  <si>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</si>
  <si>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I_004-52-1-01.21-0071</t>
  </si>
  <si>
    <t>Реконструкция ВЛ 35 кВ №21, 22 в части расширения просеки (ПЭС) (5,63 га)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</si>
  <si>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</si>
  <si>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</si>
  <si>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М.В. Брюхов</t>
  </si>
  <si>
    <t>Сводка затрат по ИП I_004-52-1-01.21-0071_ Реконструкция ВЛ 35 кВ №21, 22 в части расширения просеки (ПЭС) (5,63 га)</t>
  </si>
  <si>
    <t>С учетом методики снижения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</si>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</sst>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5" formatCode="_-* #,##0.00000\ _₽_-;\-* #,##0.00000\ _₽_-;_-* &quot;-&quot;??\ _₽_-;_-@_-"/>
    <numFmt numFmtId="186" formatCode="_-* #,##0.00\ _₽_-;\-* #,##0.00\ _₽_-;_-* &quot;-&quot;\ _₽_-;_-@_-"/>
    <numFmt numFmtId="187" formatCode="_-* #,##0.000\ _₽_-;\-* #,##0.000\ _₽_-;_-* &quot;-&quot;??\ _₽_-;_-@_-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2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0" fontId="1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466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3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" xfId="45" quotePrefix="1" applyFont="1" applyBorder="1" applyAlignment="1">
      <alignment horizontal="righ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39" fillId="0" borderId="1" xfId="0" applyNumberFormat="1" applyFont="1" applyBorder="1" applyAlignment="1">
      <alignment horizontal="right" vertical="center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40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3" fillId="0" borderId="0" xfId="0" applyFont="1" applyAlignment="1">
      <alignment horizontal="left"/>
    </xf>
    <xf numFmtId="0" fontId="53" fillId="0" borderId="52" xfId="0" applyFont="1" applyBorder="1" applyAlignment="1">
      <alignment horizontal="left"/>
    </xf>
    <xf numFmtId="0" fontId="54" fillId="0" borderId="0" xfId="0" applyFont="1" applyAlignment="1">
      <alignment horizontal="left"/>
    </xf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3" fontId="23" fillId="0" borderId="1" xfId="60" applyNumberFormat="1" applyFont="1" applyBorder="1" applyAlignment="1">
      <alignment vertical="center" wrapText="1"/>
    </xf>
    <xf numFmtId="173" fontId="5" fillId="0" borderId="0" xfId="60" applyNumberFormat="1"/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14" fontId="12" fillId="0" borderId="0" xfId="6" applyNumberFormat="1" applyAlignment="1">
      <alignment wrapText="1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12" fillId="0" borderId="0" xfId="6" applyFill="1" applyBorder="1" applyAlignment="1">
      <alignment horizont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55" fillId="0" borderId="0" xfId="0" applyFont="1" applyAlignment="1">
      <alignment horizontal="left" wrapText="1"/>
    </xf>
    <xf numFmtId="0" fontId="55" fillId="0" borderId="0" xfId="0" applyFont="1" applyAlignment="1">
      <alignment horizontal="left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0" fontId="0" fillId="0" borderId="0" xfId="0" applyProtection="1">
      <protection locked="0"/>
    </xf>
    <xf numFmtId="185" fontId="25" fillId="0" borderId="0" xfId="0" applyNumberFormat="1" applyFont="1" applyProtection="1">
      <protection locked="0"/>
    </xf>
    <xf numFmtId="0" fontId="25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50" fillId="0" borderId="0" xfId="0" applyFont="1" applyAlignment="1" applyProtection="1">
      <alignment horizontal="center" vertical="center" wrapText="1"/>
      <protection locked="0"/>
    </xf>
    <xf numFmtId="0" fontId="50" fillId="0" borderId="0" xfId="63" applyFont="1" applyAlignment="1">
      <alignment vertical="center"/>
    </xf>
    <xf numFmtId="0" fontId="5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1" fillId="0" borderId="53" xfId="0" applyFont="1" applyBorder="1" applyAlignment="1" applyProtection="1">
      <alignment horizontal="center" vertical="center" wrapText="1"/>
      <protection locked="0"/>
    </xf>
    <xf numFmtId="0" fontId="51" fillId="0" borderId="54" xfId="0" applyFont="1" applyBorder="1" applyAlignment="1" applyProtection="1">
      <alignment horizontal="center" vertical="center" wrapText="1"/>
      <protection locked="0"/>
    </xf>
    <xf numFmtId="0" fontId="51" fillId="0" borderId="43" xfId="0" applyFont="1" applyBorder="1" applyAlignment="1" applyProtection="1">
      <alignment horizontal="center" vertical="center" wrapText="1"/>
      <protection locked="0"/>
    </xf>
    <xf numFmtId="0" fontId="56" fillId="0" borderId="3" xfId="0" applyFont="1" applyBorder="1" applyAlignment="1" applyProtection="1">
      <alignment horizontal="center" vertical="center" wrapText="1"/>
      <protection locked="0"/>
    </xf>
    <xf numFmtId="0" fontId="56" fillId="0" borderId="4" xfId="0" applyFont="1" applyBorder="1" applyAlignment="1" applyProtection="1">
      <alignment horizontal="center" vertical="center" wrapText="1"/>
      <protection locked="0"/>
    </xf>
    <xf numFmtId="0" fontId="56" fillId="0" borderId="26" xfId="0" applyFont="1" applyBorder="1" applyAlignment="1" applyProtection="1">
      <alignment horizontal="center" vertical="center" wrapText="1"/>
      <protection locked="0"/>
    </xf>
    <xf numFmtId="0" fontId="57" fillId="0" borderId="23" xfId="0" applyFont="1" applyBorder="1" applyAlignment="1" applyProtection="1">
      <alignment horizontal="center" vertical="center" wrapText="1"/>
      <protection locked="0"/>
    </xf>
    <xf numFmtId="0" fontId="57" fillId="0" borderId="24" xfId="0" applyFont="1" applyBorder="1" applyAlignment="1" applyProtection="1">
      <alignment horizontal="center" vertical="center" wrapText="1"/>
      <protection locked="0"/>
    </xf>
    <xf numFmtId="0" fontId="57" fillId="0" borderId="55" xfId="0" applyFont="1" applyBorder="1" applyAlignment="1" applyProtection="1">
      <alignment horizontal="center" vertical="center" wrapText="1"/>
      <protection locked="0"/>
    </xf>
    <xf numFmtId="0" fontId="51" fillId="0" borderId="45" xfId="0" applyFont="1" applyBorder="1" applyAlignment="1" applyProtection="1">
      <alignment horizontal="center" vertical="center" wrapText="1"/>
      <protection locked="0"/>
    </xf>
    <xf numFmtId="49" fontId="56" fillId="0" borderId="53" xfId="0" applyNumberFormat="1" applyFont="1" applyBorder="1" applyAlignment="1" applyProtection="1">
      <alignment horizontal="center" vertical="center" wrapText="1"/>
      <protection locked="0"/>
    </xf>
    <xf numFmtId="49" fontId="56" fillId="0" borderId="54" xfId="0" applyNumberFormat="1" applyFont="1" applyBorder="1" applyAlignment="1" applyProtection="1">
      <alignment horizontal="center" vertical="center" wrapText="1"/>
      <protection locked="0"/>
    </xf>
    <xf numFmtId="49" fontId="56" fillId="0" borderId="4" xfId="0" applyNumberFormat="1" applyFont="1" applyBorder="1" applyAlignment="1" applyProtection="1">
      <alignment horizontal="center" vertical="center" wrapText="1"/>
      <protection locked="0"/>
    </xf>
    <xf numFmtId="49" fontId="51" fillId="0" borderId="26" xfId="0" applyNumberFormat="1" applyFont="1" applyBorder="1" applyAlignment="1" applyProtection="1">
      <alignment horizontal="center" vertical="center" wrapText="1"/>
      <protection locked="0"/>
    </xf>
    <xf numFmtId="0" fontId="51" fillId="0" borderId="49" xfId="0" applyFont="1" applyBorder="1" applyAlignment="1" applyProtection="1">
      <alignment horizontal="center" vertical="center" wrapText="1"/>
      <protection locked="0"/>
    </xf>
    <xf numFmtId="0" fontId="51" fillId="0" borderId="50" xfId="0" applyFont="1" applyBorder="1" applyAlignment="1" applyProtection="1">
      <alignment horizontal="center" vertical="center" wrapText="1"/>
      <protection locked="0"/>
    </xf>
    <xf numFmtId="0" fontId="51" fillId="0" borderId="42" xfId="0" applyFont="1" applyBorder="1" applyAlignment="1" applyProtection="1">
      <alignment horizontal="center" vertical="center" wrapText="1"/>
      <protection locked="0"/>
    </xf>
    <xf numFmtId="0" fontId="56" fillId="0" borderId="56" xfId="0" applyFont="1" applyBorder="1" applyAlignment="1" applyProtection="1">
      <alignment horizontal="center" vertical="center" wrapText="1"/>
      <protection locked="0"/>
    </xf>
    <xf numFmtId="0" fontId="56" fillId="0" borderId="5" xfId="0" applyFont="1" applyBorder="1" applyAlignment="1" applyProtection="1">
      <alignment horizontal="center" vertical="center" wrapText="1"/>
      <protection locked="0"/>
    </xf>
    <xf numFmtId="0" fontId="56" fillId="0" borderId="57" xfId="0" applyFont="1" applyBorder="1" applyAlignment="1" applyProtection="1">
      <alignment horizontal="center" vertical="center" wrapText="1"/>
      <protection locked="0"/>
    </xf>
    <xf numFmtId="0" fontId="57" fillId="0" borderId="58" xfId="0" applyFont="1" applyBorder="1" applyAlignment="1" applyProtection="1">
      <alignment horizontal="center" vertical="center" wrapText="1"/>
      <protection locked="0"/>
    </xf>
    <xf numFmtId="0" fontId="57" fillId="0" borderId="8" xfId="0" applyFont="1" applyBorder="1" applyAlignment="1" applyProtection="1">
      <alignment horizontal="center" vertical="center" wrapText="1"/>
      <protection locked="0"/>
    </xf>
    <xf numFmtId="0" fontId="57" fillId="0" borderId="12" xfId="0" applyFont="1" applyBorder="1" applyAlignment="1" applyProtection="1">
      <alignment horizontal="center" vertical="center" wrapText="1"/>
      <protection locked="0"/>
    </xf>
    <xf numFmtId="0" fontId="57" fillId="0" borderId="22" xfId="0" applyFont="1" applyBorder="1" applyAlignment="1" applyProtection="1">
      <alignment horizontal="center" vertical="center" wrapText="1"/>
      <protection locked="0"/>
    </xf>
    <xf numFmtId="0" fontId="57" fillId="0" borderId="9" xfId="0" applyFont="1" applyBorder="1" applyAlignment="1" applyProtection="1">
      <alignment horizontal="center" vertical="center" wrapText="1"/>
      <protection locked="0"/>
    </xf>
    <xf numFmtId="0" fontId="57" fillId="0" borderId="59" xfId="0" applyFont="1" applyBorder="1" applyAlignment="1" applyProtection="1">
      <alignment horizontal="center" vertical="center" wrapText="1"/>
      <protection locked="0"/>
    </xf>
    <xf numFmtId="0" fontId="51" fillId="0" borderId="60" xfId="0" applyFont="1" applyBorder="1" applyAlignment="1" applyProtection="1">
      <alignment horizontal="center" vertical="center" wrapText="1"/>
      <protection locked="0"/>
    </xf>
    <xf numFmtId="49" fontId="56" fillId="0" borderId="49" xfId="0" applyNumberFormat="1" applyFont="1" applyBorder="1" applyAlignment="1" applyProtection="1">
      <alignment horizontal="center" vertical="center" wrapText="1"/>
      <protection locked="0"/>
    </xf>
    <xf numFmtId="49" fontId="56" fillId="0" borderId="50" xfId="0" applyNumberFormat="1" applyFont="1" applyBorder="1" applyAlignment="1" applyProtection="1">
      <alignment horizontal="center" vertical="center" wrapText="1"/>
      <protection locked="0"/>
    </xf>
    <xf numFmtId="49" fontId="56" fillId="0" borderId="1" xfId="0" applyNumberFormat="1" applyFont="1" applyBorder="1" applyAlignment="1" applyProtection="1">
      <alignment horizontal="center" vertical="center" wrapText="1"/>
      <protection locked="0"/>
    </xf>
    <xf numFmtId="49" fontId="51" fillId="0" borderId="12" xfId="0" applyNumberFormat="1" applyFont="1" applyBorder="1" applyAlignment="1" applyProtection="1">
      <alignment horizontal="center" vertical="center" wrapText="1"/>
      <protection locked="0"/>
    </xf>
    <xf numFmtId="0" fontId="51" fillId="0" borderId="28" xfId="0" applyFont="1" applyBorder="1" applyAlignment="1" applyProtection="1">
      <alignment horizontal="center" vertical="center" wrapText="1"/>
      <protection locked="0"/>
    </xf>
    <xf numFmtId="0" fontId="51" fillId="0" borderId="29" xfId="0" applyFont="1" applyBorder="1" applyAlignment="1" applyProtection="1">
      <alignment horizontal="center" vertical="center" wrapText="1"/>
      <protection locked="0"/>
    </xf>
    <xf numFmtId="0" fontId="51" fillId="0" borderId="31" xfId="0" applyFont="1" applyBorder="1" applyAlignment="1" applyProtection="1">
      <alignment horizontal="center" vertical="center" wrapText="1"/>
      <protection locked="0"/>
    </xf>
    <xf numFmtId="0" fontId="56" fillId="0" borderId="28" xfId="0" applyFont="1" applyBorder="1" applyAlignment="1" applyProtection="1">
      <alignment horizontal="center" vertical="center" wrapText="1"/>
      <protection locked="0"/>
    </xf>
    <xf numFmtId="0" fontId="56" fillId="0" borderId="29" xfId="0" applyFont="1" applyBorder="1" applyAlignment="1" applyProtection="1">
      <alignment horizontal="center" vertical="center" wrapText="1"/>
      <protection locked="0"/>
    </xf>
    <xf numFmtId="0" fontId="56" fillId="0" borderId="31" xfId="0" applyFont="1" applyBorder="1" applyAlignment="1" applyProtection="1">
      <alignment horizontal="center" vertical="center" wrapText="1"/>
      <protection locked="0"/>
    </xf>
    <xf numFmtId="0" fontId="57" fillId="0" borderId="14" xfId="0" applyFont="1" applyBorder="1" applyAlignment="1" applyProtection="1">
      <alignment horizontal="center" vertical="center" wrapText="1"/>
      <protection locked="0"/>
    </xf>
    <xf numFmtId="0" fontId="57" fillId="0" borderId="15" xfId="0" applyFont="1" applyBorder="1" applyAlignment="1" applyProtection="1">
      <alignment horizontal="center" vertical="center" wrapText="1"/>
      <protection locked="0"/>
    </xf>
    <xf numFmtId="0" fontId="57" fillId="0" borderId="16" xfId="0" applyFont="1" applyBorder="1" applyAlignment="1" applyProtection="1">
      <alignment horizontal="center" vertical="center" wrapText="1"/>
      <protection locked="0"/>
    </xf>
    <xf numFmtId="0" fontId="56" fillId="0" borderId="14" xfId="0" applyFont="1" applyBorder="1" applyAlignment="1" applyProtection="1">
      <alignment horizontal="center" vertical="center" wrapText="1"/>
      <protection locked="0"/>
    </xf>
    <xf numFmtId="0" fontId="56" fillId="0" borderId="15" xfId="0" applyFont="1" applyBorder="1" applyAlignment="1" applyProtection="1">
      <alignment horizontal="center" vertical="center" wrapText="1"/>
      <protection locked="0"/>
    </xf>
    <xf numFmtId="0" fontId="56" fillId="0" borderId="16" xfId="0" applyFont="1" applyBorder="1" applyAlignment="1" applyProtection="1">
      <alignment horizontal="center" vertical="center" wrapText="1"/>
      <protection locked="0"/>
    </xf>
    <xf numFmtId="0" fontId="51" fillId="0" borderId="46" xfId="0" applyFont="1" applyBorder="1" applyAlignment="1" applyProtection="1">
      <alignment horizontal="center" vertical="center" wrapText="1"/>
      <protection locked="0"/>
    </xf>
    <xf numFmtId="49" fontId="56" fillId="0" borderId="28" xfId="0" applyNumberFormat="1" applyFont="1" applyBorder="1" applyAlignment="1" applyProtection="1">
      <alignment horizontal="center" vertical="center" wrapText="1"/>
      <protection locked="0"/>
    </xf>
    <xf numFmtId="49" fontId="56" fillId="0" borderId="29" xfId="0" applyNumberFormat="1" applyFont="1" applyBorder="1" applyAlignment="1" applyProtection="1">
      <alignment horizontal="center" vertical="center" wrapText="1"/>
      <protection locked="0"/>
    </xf>
    <xf numFmtId="49" fontId="56" fillId="0" borderId="15" xfId="0" applyNumberFormat="1" applyFont="1" applyBorder="1" applyAlignment="1" applyProtection="1">
      <alignment horizontal="center" vertical="center" wrapText="1"/>
      <protection locked="0"/>
    </xf>
    <xf numFmtId="49" fontId="51" fillId="0" borderId="16" xfId="0" applyNumberFormat="1" applyFont="1" applyBorder="1" applyAlignment="1" applyProtection="1">
      <alignment horizontal="center" vertical="center" wrapText="1"/>
      <protection locked="0"/>
    </xf>
    <xf numFmtId="0" fontId="52" fillId="0" borderId="40" xfId="0" applyFont="1" applyBorder="1" applyAlignment="1" applyProtection="1">
      <alignment horizontal="center" vertical="center" wrapText="1"/>
      <protection locked="0"/>
    </xf>
    <xf numFmtId="0" fontId="52" fillId="0" borderId="2" xfId="0" applyFont="1" applyBorder="1" applyAlignment="1" applyProtection="1">
      <alignment horizontal="center" vertical="center" wrapText="1"/>
      <protection locked="0"/>
    </xf>
    <xf numFmtId="0" fontId="52" fillId="0" borderId="41" xfId="0" applyFont="1" applyBorder="1" applyAlignment="1" applyProtection="1">
      <alignment horizontal="center" vertical="center" wrapText="1"/>
      <protection locked="0"/>
    </xf>
    <xf numFmtId="0" fontId="56" fillId="0" borderId="3" xfId="0" applyFont="1" applyBorder="1" applyAlignment="1" applyProtection="1">
      <alignment horizontal="center" vertical="center" wrapText="1"/>
      <protection locked="0"/>
    </xf>
    <xf numFmtId="0" fontId="56" fillId="0" borderId="4" xfId="0" applyFont="1" applyBorder="1" applyAlignment="1" applyProtection="1">
      <alignment horizontal="center" vertical="center" wrapText="1"/>
      <protection locked="0"/>
    </xf>
    <xf numFmtId="0" fontId="56" fillId="0" borderId="26" xfId="0" applyFont="1" applyBorder="1" applyAlignment="1" applyProtection="1">
      <alignment horizontal="center" vertical="center" wrapText="1"/>
      <protection locked="0"/>
    </xf>
    <xf numFmtId="0" fontId="56" fillId="0" borderId="47" xfId="0" applyFont="1" applyBorder="1" applyAlignment="1" applyProtection="1">
      <alignment horizontal="center" vertical="center" wrapText="1"/>
      <protection locked="0"/>
    </xf>
    <xf numFmtId="0" fontId="56" fillId="0" borderId="50" xfId="0" applyFont="1" applyBorder="1" applyAlignment="1" applyProtection="1">
      <alignment horizontal="center" vertical="center" wrapText="1"/>
      <protection locked="0"/>
    </xf>
    <xf numFmtId="0" fontId="56" fillId="0" borderId="48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4" xfId="0" applyFont="1" applyBorder="1" applyAlignment="1" applyProtection="1">
      <alignment horizontal="center" vertical="center" wrapText="1"/>
      <protection locked="0"/>
    </xf>
    <xf numFmtId="0" fontId="52" fillId="0" borderId="26" xfId="0" applyFont="1" applyBorder="1" applyAlignment="1" applyProtection="1">
      <alignment horizontal="center" vertical="center" wrapText="1"/>
      <protection locked="0"/>
    </xf>
    <xf numFmtId="0" fontId="52" fillId="0" borderId="7" xfId="0" applyFont="1" applyBorder="1" applyAlignment="1" applyProtection="1">
      <alignment horizontal="center" vertical="center" wrapText="1"/>
      <protection locked="0"/>
    </xf>
    <xf numFmtId="0" fontId="52" fillId="0" borderId="25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2" fillId="0" borderId="14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left" vertical="center" wrapText="1"/>
      <protection locked="0"/>
    </xf>
    <xf numFmtId="186" fontId="52" fillId="0" borderId="17" xfId="0" applyNumberFormat="1" applyFont="1" applyBorder="1" applyAlignment="1" applyProtection="1">
      <alignment vertical="center" wrapText="1"/>
      <protection locked="0"/>
    </xf>
    <xf numFmtId="186" fontId="52" fillId="0" borderId="14" xfId="0" applyNumberFormat="1" applyFont="1" applyBorder="1" applyAlignment="1" applyProtection="1">
      <alignment horizontal="center" vertical="center" wrapText="1"/>
      <protection locked="0"/>
    </xf>
    <xf numFmtId="186" fontId="52" fillId="0" borderId="15" xfId="0" applyNumberFormat="1" applyFont="1" applyBorder="1" applyAlignment="1" applyProtection="1">
      <alignment horizontal="center" vertical="center" wrapText="1"/>
      <protection locked="0"/>
    </xf>
    <xf numFmtId="186" fontId="52" fillId="0" borderId="16" xfId="0" applyNumberFormat="1" applyFont="1" applyBorder="1" applyAlignment="1" applyProtection="1">
      <alignment horizontal="center" vertical="center" wrapText="1"/>
      <protection locked="0"/>
    </xf>
    <xf numFmtId="186" fontId="52" fillId="0" borderId="21" xfId="0" applyNumberFormat="1" applyFont="1" applyBorder="1" applyAlignment="1" applyProtection="1">
      <alignment horizontal="center" vertical="center" wrapText="1"/>
      <protection locked="0"/>
    </xf>
    <xf numFmtId="186" fontId="52" fillId="0" borderId="17" xfId="0" applyNumberFormat="1" applyFont="1" applyBorder="1" applyAlignment="1" applyProtection="1">
      <alignment horizontal="center" vertical="center" wrapText="1"/>
      <protection locked="0"/>
    </xf>
    <xf numFmtId="186" fontId="51" fillId="0" borderId="61" xfId="0" applyNumberFormat="1" applyFont="1" applyBorder="1" applyAlignment="1" applyProtection="1">
      <alignment horizontal="center" vertical="center" wrapText="1"/>
      <protection locked="0"/>
    </xf>
    <xf numFmtId="186" fontId="51" fillId="0" borderId="16" xfId="0" applyNumberFormat="1" applyFont="1" applyBorder="1" applyAlignment="1" applyProtection="1">
      <alignment horizontal="center" vertical="center" wrapText="1"/>
      <protection locked="0"/>
    </xf>
    <xf numFmtId="187" fontId="25" fillId="0" borderId="0" xfId="0" applyNumberFormat="1" applyFont="1" applyProtection="1">
      <protection locked="0"/>
    </xf>
    <xf numFmtId="43" fontId="25" fillId="0" borderId="0" xfId="0" applyNumberFormat="1" applyFont="1" applyAlignment="1" applyProtection="1">
      <alignment horizontal="center" vertical="center"/>
      <protection locked="0"/>
    </xf>
    <xf numFmtId="43" fontId="25" fillId="0" borderId="0" xfId="0" applyNumberFormat="1" applyFont="1" applyProtection="1"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164" fontId="30" fillId="0" borderId="0" xfId="0" applyNumberFormat="1" applyFont="1" applyBorder="1" applyAlignment="1" applyProtection="1">
      <alignment horizontal="center" vertical="center" wrapText="1"/>
      <protection hidden="1"/>
    </xf>
    <xf numFmtId="186" fontId="30" fillId="0" borderId="0" xfId="0" applyNumberFormat="1" applyFont="1" applyBorder="1" applyAlignment="1" applyProtection="1">
      <alignment horizontal="center" vertical="center"/>
      <protection locked="0"/>
    </xf>
    <xf numFmtId="183" fontId="30" fillId="0" borderId="0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52" fillId="0" borderId="0" xfId="71" applyFont="1"/>
    <xf numFmtId="0" fontId="52" fillId="0" borderId="0" xfId="71" applyFont="1" applyAlignment="1">
      <alignment horizontal="left" vertical="center"/>
    </xf>
  </cellXfs>
  <cellStyles count="72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3"/>
    <cellStyle name="Обычный 2 10 10 2" xfId="71"/>
    <cellStyle name="Обычный 2 2" xfId="64"/>
    <cellStyle name="Обычный 3" xfId="56"/>
    <cellStyle name="Обычный 3 2" xfId="65"/>
    <cellStyle name="Обычный 4" xfId="58"/>
    <cellStyle name="Обычный 4 2" xfId="60"/>
    <cellStyle name="Обычный 4 2 2" xfId="69"/>
    <cellStyle name="Обычный 4 3" xfId="67"/>
    <cellStyle name="Стиль 1" xfId="62"/>
    <cellStyle name="Финансовый 2" xfId="57"/>
    <cellStyle name="Финансовый 2 2" xfId="66"/>
    <cellStyle name="Финансовый 3" xfId="59"/>
    <cellStyle name="Финансовый 3 2" xfId="61"/>
    <cellStyle name="Финансовый 3 2 2" xfId="70"/>
    <cellStyle name="Финансовый 3 3" xfId="68"/>
  </cellStyles>
  <dxfs count="10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12</xdr:row>
      <xdr:rowOff>95250</xdr:rowOff>
    </xdr:from>
    <xdr:to>
      <xdr:col>2</xdr:col>
      <xdr:colOff>733425</xdr:colOff>
      <xdr:row>14</xdr:row>
      <xdr:rowOff>81643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0825" y="2905125"/>
          <a:ext cx="0" cy="367393"/>
        </a:xfrm>
        <a:prstGeom prst="rect">
          <a:avLst/>
        </a:prstGeom>
      </xdr:spPr>
    </xdr:pic>
    <xdr:clientData/>
  </xdr:twoCellAnchor>
  <xdr:twoCellAnchor editAs="oneCell">
    <xdr:from>
      <xdr:col>3</xdr:col>
      <xdr:colOff>238126</xdr:colOff>
      <xdr:row>12</xdr:row>
      <xdr:rowOff>133350</xdr:rowOff>
    </xdr:from>
    <xdr:to>
      <xdr:col>4</xdr:col>
      <xdr:colOff>50634</xdr:colOff>
      <xdr:row>14</xdr:row>
      <xdr:rowOff>47625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5826" y="3933825"/>
          <a:ext cx="631658" cy="295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1839575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J20" sqref="J20"/>
    </sheetView>
  </sheetViews>
  <sheetFormatPr defaultRowHeight="15" x14ac:dyDescent="0.25"/>
  <cols>
    <col min="1" max="1" width="11.7109375" style="367" customWidth="1"/>
    <col min="2" max="2" width="12.140625" style="367" customWidth="1"/>
    <col min="3" max="3" width="43" style="367" customWidth="1"/>
    <col min="4" max="4" width="12.28515625" style="367" customWidth="1"/>
    <col min="5" max="7" width="10.42578125" style="367" customWidth="1"/>
    <col min="8" max="8" width="9.28515625" style="367" customWidth="1"/>
    <col min="9" max="9" width="11.85546875" style="367" customWidth="1"/>
    <col min="10" max="10" width="14.85546875" style="367" customWidth="1"/>
    <col min="11" max="11" width="15.85546875" style="367" customWidth="1"/>
    <col min="12" max="12" width="8.7109375" style="367" customWidth="1"/>
    <col min="13" max="14" width="9.85546875" style="367" customWidth="1"/>
    <col min="15" max="15" width="8.7109375" style="367" customWidth="1"/>
    <col min="16" max="17" width="9.85546875" style="367" customWidth="1"/>
    <col min="18" max="18" width="11.28515625" style="367" customWidth="1"/>
    <col min="19" max="19" width="12" style="367" customWidth="1"/>
    <col min="20" max="20" width="11.7109375" style="367" customWidth="1"/>
    <col min="21" max="21" width="11.42578125" style="367" customWidth="1"/>
    <col min="22" max="22" width="11.140625" style="367" customWidth="1"/>
    <col min="23" max="23" width="11.5703125" style="367" customWidth="1"/>
    <col min="24" max="24" width="14.42578125" style="367" customWidth="1"/>
    <col min="25" max="26" width="9.140625" style="367"/>
    <col min="27" max="27" width="10" style="367" bestFit="1" customWidth="1"/>
    <col min="28" max="28" width="12.7109375" style="367" bestFit="1" customWidth="1"/>
    <col min="29" max="16384" width="9.140625" style="367"/>
  </cols>
  <sheetData>
    <row r="1" spans="1:34" x14ac:dyDescent="0.25">
      <c r="W1" s="368"/>
      <c r="X1" s="369"/>
      <c r="Y1" s="369"/>
      <c r="Z1" s="369"/>
      <c r="AA1" s="369"/>
      <c r="AB1" s="369"/>
      <c r="AC1" s="369"/>
      <c r="AD1" s="369"/>
      <c r="AE1" s="369"/>
      <c r="AF1" s="369"/>
      <c r="AG1" s="369"/>
      <c r="AH1" s="369"/>
    </row>
    <row r="2" spans="1:34" s="370" customFormat="1" x14ac:dyDescent="0.25">
      <c r="B2" s="371" t="s">
        <v>126</v>
      </c>
      <c r="C2" s="371"/>
      <c r="D2" s="371"/>
      <c r="E2" s="371"/>
      <c r="F2" s="371"/>
      <c r="G2" s="371"/>
      <c r="H2" s="371"/>
      <c r="I2" s="371"/>
      <c r="J2" s="372" t="s">
        <v>123</v>
      </c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</row>
    <row r="3" spans="1:34" ht="15.75" thickBot="1" x14ac:dyDescent="0.3">
      <c r="L3" s="374"/>
      <c r="M3" s="374"/>
      <c r="N3" s="374"/>
      <c r="O3" s="374"/>
      <c r="P3" s="374"/>
      <c r="Q3" s="374"/>
      <c r="R3" s="375"/>
      <c r="S3" s="375"/>
      <c r="T3" s="375"/>
      <c r="U3" s="367">
        <f>A8</f>
        <v>2019</v>
      </c>
      <c r="V3" s="367" t="s">
        <v>108</v>
      </c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</row>
    <row r="4" spans="1:34" ht="15" customHeight="1" x14ac:dyDescent="0.25">
      <c r="A4" s="376" t="s">
        <v>109</v>
      </c>
      <c r="B4" s="377" t="s">
        <v>110</v>
      </c>
      <c r="C4" s="377" t="s">
        <v>111</v>
      </c>
      <c r="D4" s="378" t="s">
        <v>130</v>
      </c>
      <c r="E4" s="379" t="s">
        <v>37</v>
      </c>
      <c r="F4" s="380"/>
      <c r="G4" s="380"/>
      <c r="H4" s="381"/>
      <c r="I4" s="382" t="s">
        <v>131</v>
      </c>
      <c r="J4" s="383"/>
      <c r="K4" s="384"/>
      <c r="L4" s="382" t="s">
        <v>132</v>
      </c>
      <c r="M4" s="383"/>
      <c r="N4" s="383"/>
      <c r="O4" s="383"/>
      <c r="P4" s="383"/>
      <c r="Q4" s="384"/>
      <c r="R4" s="385" t="s">
        <v>112</v>
      </c>
      <c r="S4" s="386" t="s">
        <v>133</v>
      </c>
      <c r="T4" s="387" t="s">
        <v>134</v>
      </c>
      <c r="U4" s="388" t="s">
        <v>135</v>
      </c>
      <c r="V4" s="389" t="s">
        <v>113</v>
      </c>
      <c r="W4" s="369"/>
      <c r="X4" s="369"/>
      <c r="Y4" s="369"/>
      <c r="Z4" s="369"/>
      <c r="AA4" s="369"/>
      <c r="AB4" s="369"/>
      <c r="AC4" s="369"/>
      <c r="AD4" s="369"/>
      <c r="AE4" s="369"/>
      <c r="AF4" s="369"/>
      <c r="AG4" s="369"/>
      <c r="AH4" s="369"/>
    </row>
    <row r="5" spans="1:34" x14ac:dyDescent="0.25">
      <c r="A5" s="390"/>
      <c r="B5" s="391"/>
      <c r="C5" s="391"/>
      <c r="D5" s="392"/>
      <c r="E5" s="393" t="s">
        <v>136</v>
      </c>
      <c r="F5" s="394" t="s">
        <v>137</v>
      </c>
      <c r="G5" s="394" t="s">
        <v>138</v>
      </c>
      <c r="H5" s="395" t="s">
        <v>139</v>
      </c>
      <c r="I5" s="396" t="s">
        <v>140</v>
      </c>
      <c r="J5" s="397"/>
      <c r="K5" s="398" t="s">
        <v>141</v>
      </c>
      <c r="L5" s="396" t="s">
        <v>140</v>
      </c>
      <c r="M5" s="399"/>
      <c r="N5" s="397"/>
      <c r="O5" s="400" t="s">
        <v>141</v>
      </c>
      <c r="P5" s="399"/>
      <c r="Q5" s="401"/>
      <c r="R5" s="402"/>
      <c r="S5" s="403"/>
      <c r="T5" s="404"/>
      <c r="U5" s="405"/>
      <c r="V5" s="406"/>
      <c r="W5" s="369"/>
      <c r="X5" s="369"/>
      <c r="Y5" s="369"/>
      <c r="Z5" s="369"/>
      <c r="AA5" s="369"/>
      <c r="AB5" s="369"/>
      <c r="AC5" s="369"/>
      <c r="AD5" s="369"/>
      <c r="AE5" s="369"/>
      <c r="AF5" s="369"/>
      <c r="AG5" s="369"/>
      <c r="AH5" s="369"/>
    </row>
    <row r="6" spans="1:34" ht="132.75" thickBot="1" x14ac:dyDescent="0.3">
      <c r="A6" s="407"/>
      <c r="B6" s="408"/>
      <c r="C6" s="408"/>
      <c r="D6" s="409"/>
      <c r="E6" s="410"/>
      <c r="F6" s="411"/>
      <c r="G6" s="411"/>
      <c r="H6" s="412"/>
      <c r="I6" s="413" t="s">
        <v>142</v>
      </c>
      <c r="J6" s="414" t="s">
        <v>143</v>
      </c>
      <c r="K6" s="415" t="s">
        <v>144</v>
      </c>
      <c r="L6" s="416" t="s">
        <v>145</v>
      </c>
      <c r="M6" s="417" t="s">
        <v>114</v>
      </c>
      <c r="N6" s="417" t="s">
        <v>115</v>
      </c>
      <c r="O6" s="417" t="s">
        <v>145</v>
      </c>
      <c r="P6" s="417" t="s">
        <v>114</v>
      </c>
      <c r="Q6" s="418" t="s">
        <v>115</v>
      </c>
      <c r="R6" s="419"/>
      <c r="S6" s="420"/>
      <c r="T6" s="421"/>
      <c r="U6" s="422"/>
      <c r="V6" s="423"/>
      <c r="W6" s="369"/>
      <c r="X6" s="369"/>
      <c r="Y6" s="369"/>
      <c r="Z6" s="369"/>
      <c r="AA6" s="369"/>
      <c r="AB6" s="369"/>
      <c r="AC6" s="369"/>
      <c r="AD6" s="369"/>
      <c r="AE6" s="369"/>
      <c r="AF6" s="369"/>
      <c r="AG6" s="369"/>
      <c r="AH6" s="369"/>
    </row>
    <row r="7" spans="1:34" s="438" customFormat="1" x14ac:dyDescent="0.25">
      <c r="A7" s="424">
        <v>1</v>
      </c>
      <c r="B7" s="425">
        <v>2</v>
      </c>
      <c r="C7" s="425">
        <v>3</v>
      </c>
      <c r="D7" s="426">
        <v>4</v>
      </c>
      <c r="E7" s="427">
        <v>5</v>
      </c>
      <c r="F7" s="428">
        <v>6</v>
      </c>
      <c r="G7" s="428">
        <v>7</v>
      </c>
      <c r="H7" s="429">
        <v>8</v>
      </c>
      <c r="I7" s="430">
        <v>9</v>
      </c>
      <c r="J7" s="431">
        <v>10</v>
      </c>
      <c r="K7" s="432">
        <v>11</v>
      </c>
      <c r="L7" s="433">
        <v>12</v>
      </c>
      <c r="M7" s="434">
        <v>13</v>
      </c>
      <c r="N7" s="434">
        <v>14</v>
      </c>
      <c r="O7" s="434">
        <v>15</v>
      </c>
      <c r="P7" s="434">
        <v>16</v>
      </c>
      <c r="Q7" s="435">
        <v>17</v>
      </c>
      <c r="R7" s="436">
        <v>18</v>
      </c>
      <c r="S7" s="424">
        <v>19</v>
      </c>
      <c r="T7" s="425">
        <v>20</v>
      </c>
      <c r="U7" s="425">
        <v>21</v>
      </c>
      <c r="V7" s="437">
        <v>22</v>
      </c>
      <c r="W7" s="369"/>
      <c r="X7" s="369"/>
      <c r="Y7" s="369"/>
      <c r="Z7" s="369"/>
      <c r="AA7" s="369"/>
      <c r="AB7" s="369"/>
      <c r="AC7" s="369"/>
      <c r="AD7" s="369"/>
      <c r="AE7" s="369"/>
      <c r="AF7" s="369"/>
      <c r="AG7" s="369"/>
      <c r="AH7" s="369"/>
    </row>
    <row r="8" spans="1:34" ht="39.75" customHeight="1" thickBot="1" x14ac:dyDescent="0.3">
      <c r="A8" s="439">
        <v>2019</v>
      </c>
      <c r="B8" s="440" t="str">
        <f>J2</f>
        <v>I_004-52-1-01.21-0071</v>
      </c>
      <c r="C8" s="441" t="s">
        <v>124</v>
      </c>
      <c r="D8" s="442">
        <v>777.74116000000004</v>
      </c>
      <c r="E8" s="443">
        <v>73.239249999999998</v>
      </c>
      <c r="F8" s="444">
        <v>606.34545000000003</v>
      </c>
      <c r="G8" s="444">
        <v>0</v>
      </c>
      <c r="H8" s="445">
        <f>IFERROR(D8-E8-F8-G8,"#Ошибка!")</f>
        <v>98.156460000000038</v>
      </c>
      <c r="I8" s="446">
        <v>73.239249999999998</v>
      </c>
      <c r="J8" s="444">
        <v>0</v>
      </c>
      <c r="K8" s="447">
        <v>665.62049000000002</v>
      </c>
      <c r="L8" s="443">
        <v>0</v>
      </c>
      <c r="M8" s="444">
        <v>8.1897400000000005</v>
      </c>
      <c r="N8" s="444">
        <v>0</v>
      </c>
      <c r="O8" s="444">
        <v>30.691680000000002</v>
      </c>
      <c r="P8" s="444">
        <v>0</v>
      </c>
      <c r="Q8" s="445">
        <v>0</v>
      </c>
      <c r="R8" s="448">
        <f>IFERROR(SUM(I8:Q8),"#Ошибка!")</f>
        <v>777.74116000000004</v>
      </c>
      <c r="S8" s="443">
        <v>94.61206</v>
      </c>
      <c r="T8" s="444">
        <v>0</v>
      </c>
      <c r="U8" s="444">
        <f>IFERROR(ROUND(K8*1.2+T8+O8+P8+Q8,5),"#Ошибка!")</f>
        <v>829.43627000000004</v>
      </c>
      <c r="V8" s="449">
        <f>IFERROR(S8+U8,"#Ошибка!")</f>
        <v>924.04833000000008</v>
      </c>
      <c r="W8" s="450"/>
      <c r="X8" s="451"/>
      <c r="Y8" s="452"/>
      <c r="Z8" s="369"/>
      <c r="AA8" s="452"/>
      <c r="AB8" s="452"/>
      <c r="AD8" s="369"/>
      <c r="AE8" s="369"/>
      <c r="AF8" s="369"/>
      <c r="AG8" s="369"/>
      <c r="AH8" s="369"/>
    </row>
    <row r="9" spans="1:34" s="457" customFormat="1" ht="12.75" x14ac:dyDescent="0.2">
      <c r="A9" s="453"/>
      <c r="B9" s="454"/>
      <c r="C9" s="454"/>
      <c r="D9" s="455"/>
      <c r="E9" s="455"/>
      <c r="F9" s="455"/>
      <c r="G9" s="455"/>
      <c r="H9" s="455"/>
      <c r="I9" s="455"/>
      <c r="J9" s="455"/>
      <c r="K9" s="455"/>
      <c r="L9" s="455"/>
      <c r="M9" s="455"/>
      <c r="N9" s="455"/>
      <c r="O9" s="455"/>
      <c r="P9" s="455"/>
      <c r="Q9" s="455"/>
      <c r="R9" s="456"/>
      <c r="S9" s="456"/>
      <c r="T9" s="456"/>
      <c r="U9" s="456"/>
      <c r="V9" s="456"/>
    </row>
    <row r="10" spans="1:34" s="457" customFormat="1" ht="12.75" x14ac:dyDescent="0.2">
      <c r="A10" s="453"/>
      <c r="B10" s="454"/>
      <c r="C10" s="454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6"/>
      <c r="S10" s="456"/>
      <c r="T10" s="456"/>
      <c r="U10" s="456"/>
      <c r="V10" s="456"/>
    </row>
    <row r="11" spans="1:34" s="457" customFormat="1" ht="12.75" x14ac:dyDescent="0.2">
      <c r="A11" s="453"/>
      <c r="B11" s="454"/>
      <c r="C11" s="454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6"/>
      <c r="S11" s="456"/>
      <c r="T11" s="456"/>
      <c r="U11" s="456"/>
      <c r="V11" s="456"/>
    </row>
    <row r="12" spans="1:34" s="457" customFormat="1" ht="12.75" x14ac:dyDescent="0.2">
      <c r="A12" s="453"/>
      <c r="B12" s="454"/>
      <c r="C12" s="454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6"/>
      <c r="S12" s="456"/>
      <c r="T12" s="456"/>
      <c r="U12" s="456"/>
      <c r="V12" s="456"/>
    </row>
    <row r="13" spans="1:34" x14ac:dyDescent="0.25">
      <c r="W13" s="369"/>
      <c r="X13" s="369"/>
      <c r="Y13" s="369"/>
      <c r="Z13" s="369"/>
      <c r="AA13" s="369"/>
      <c r="AB13" s="369"/>
      <c r="AC13" s="369"/>
      <c r="AD13" s="369"/>
      <c r="AE13" s="369"/>
      <c r="AF13" s="369"/>
      <c r="AG13" s="369"/>
      <c r="AH13" s="369"/>
    </row>
    <row r="14" spans="1:34" x14ac:dyDescent="0.25">
      <c r="B14" s="458"/>
      <c r="C14" s="465" t="s">
        <v>118</v>
      </c>
      <c r="D14" s="465"/>
      <c r="F14" s="464" t="s">
        <v>127</v>
      </c>
      <c r="G14" s="375"/>
      <c r="H14" s="375"/>
      <c r="I14" s="375"/>
      <c r="J14" s="375"/>
      <c r="K14" s="375"/>
      <c r="W14" s="369"/>
      <c r="X14" s="369"/>
      <c r="Y14" s="369"/>
      <c r="Z14" s="369"/>
      <c r="AA14" s="369"/>
      <c r="AB14" s="369"/>
      <c r="AC14" s="369"/>
      <c r="AD14" s="369"/>
      <c r="AE14" s="369"/>
      <c r="AF14" s="369"/>
      <c r="AG14" s="369"/>
      <c r="AH14" s="369"/>
    </row>
    <row r="15" spans="1:34" x14ac:dyDescent="0.25">
      <c r="B15" s="459" t="s">
        <v>17</v>
      </c>
      <c r="D15" s="460"/>
      <c r="E15" s="460"/>
      <c r="F15" s="460"/>
      <c r="G15" s="460"/>
      <c r="H15" s="460"/>
      <c r="I15" s="460"/>
      <c r="J15" s="460"/>
      <c r="K15" s="460"/>
      <c r="W15" s="369"/>
      <c r="X15" s="369"/>
      <c r="Y15" s="369"/>
      <c r="Z15" s="369"/>
      <c r="AA15" s="369"/>
      <c r="AB15" s="369"/>
      <c r="AC15" s="369"/>
      <c r="AD15" s="369"/>
      <c r="AE15" s="369"/>
      <c r="AF15" s="369"/>
      <c r="AG15" s="369"/>
      <c r="AH15" s="369"/>
    </row>
    <row r="16" spans="1:34" x14ac:dyDescent="0.25">
      <c r="D16" s="459"/>
      <c r="E16" s="459"/>
      <c r="F16" s="459"/>
      <c r="G16" s="459"/>
      <c r="H16" s="459"/>
      <c r="I16" s="459"/>
      <c r="J16" s="461"/>
      <c r="K16" s="459"/>
      <c r="W16" s="369"/>
      <c r="X16" s="369"/>
      <c r="Y16" s="369"/>
      <c r="Z16" s="369"/>
      <c r="AA16" s="369"/>
      <c r="AB16" s="369"/>
      <c r="AC16" s="369"/>
      <c r="AD16" s="369"/>
      <c r="AE16" s="369"/>
      <c r="AF16" s="369"/>
      <c r="AG16" s="369"/>
      <c r="AH16" s="369"/>
    </row>
    <row r="17" spans="3:34" x14ac:dyDescent="0.25">
      <c r="W17" s="369"/>
      <c r="X17" s="369"/>
      <c r="Y17" s="369"/>
      <c r="Z17" s="369"/>
      <c r="AA17" s="369"/>
      <c r="AB17" s="369"/>
      <c r="AC17" s="369"/>
      <c r="AD17" s="369"/>
      <c r="AE17" s="369"/>
      <c r="AF17" s="369"/>
      <c r="AG17" s="369"/>
      <c r="AH17" s="369"/>
    </row>
    <row r="18" spans="3:34" x14ac:dyDescent="0.25">
      <c r="V18" s="462"/>
      <c r="W18" s="369"/>
      <c r="X18" s="369"/>
      <c r="Y18" s="369"/>
      <c r="Z18" s="369"/>
      <c r="AA18" s="369"/>
      <c r="AB18" s="369"/>
      <c r="AC18" s="369"/>
      <c r="AD18" s="369"/>
      <c r="AE18" s="369"/>
      <c r="AF18" s="369"/>
      <c r="AG18" s="369"/>
      <c r="AH18" s="369"/>
    </row>
    <row r="19" spans="3:34" x14ac:dyDescent="0.25">
      <c r="W19" s="369"/>
      <c r="X19" s="369"/>
      <c r="Y19" s="369"/>
      <c r="Z19" s="369"/>
      <c r="AA19" s="369"/>
      <c r="AB19" s="369"/>
      <c r="AC19" s="369"/>
      <c r="AD19" s="369"/>
      <c r="AE19" s="369"/>
      <c r="AF19" s="369"/>
      <c r="AG19" s="369"/>
      <c r="AH19" s="369"/>
    </row>
    <row r="20" spans="3:34" x14ac:dyDescent="0.25">
      <c r="W20" s="369"/>
      <c r="X20" s="369"/>
      <c r="Y20" s="369"/>
      <c r="Z20" s="369"/>
      <c r="AA20" s="369"/>
      <c r="AB20" s="369"/>
      <c r="AC20" s="369"/>
      <c r="AD20" s="369"/>
      <c r="AE20" s="369"/>
      <c r="AF20" s="369"/>
      <c r="AG20" s="369"/>
      <c r="AH20" s="369"/>
    </row>
    <row r="21" spans="3:34" x14ac:dyDescent="0.25">
      <c r="D21" s="462"/>
      <c r="E21" s="462"/>
      <c r="F21" s="462"/>
      <c r="G21" s="462"/>
      <c r="H21" s="462"/>
      <c r="I21" s="462"/>
      <c r="J21" s="462"/>
      <c r="K21" s="462"/>
      <c r="W21" s="369"/>
      <c r="X21" s="369"/>
      <c r="Y21" s="369"/>
      <c r="Z21" s="369"/>
      <c r="AA21" s="369"/>
      <c r="AB21" s="369"/>
      <c r="AC21" s="369"/>
      <c r="AD21" s="369"/>
      <c r="AE21" s="369"/>
      <c r="AF21" s="369"/>
      <c r="AG21" s="369"/>
      <c r="AH21" s="369"/>
    </row>
    <row r="22" spans="3:34" x14ac:dyDescent="0.25">
      <c r="W22" s="369"/>
      <c r="X22" s="369"/>
      <c r="Y22" s="369"/>
      <c r="Z22" s="369"/>
      <c r="AA22" s="369"/>
      <c r="AB22" s="369"/>
      <c r="AC22" s="369"/>
      <c r="AD22" s="369"/>
      <c r="AE22" s="369"/>
      <c r="AF22" s="369"/>
      <c r="AG22" s="369"/>
      <c r="AH22" s="369"/>
    </row>
    <row r="23" spans="3:34" x14ac:dyDescent="0.25"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</row>
    <row r="24" spans="3:34" x14ac:dyDescent="0.25">
      <c r="C24" s="463"/>
      <c r="W24" s="369"/>
      <c r="X24" s="369"/>
      <c r="Y24" s="369"/>
      <c r="Z24" s="369"/>
      <c r="AA24" s="369"/>
      <c r="AB24" s="369"/>
      <c r="AC24" s="369"/>
      <c r="AD24" s="369"/>
      <c r="AE24" s="369"/>
      <c r="AF24" s="369"/>
      <c r="AG24" s="369"/>
      <c r="AH24" s="369"/>
    </row>
    <row r="25" spans="3:34" x14ac:dyDescent="0.25"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</row>
  </sheetData>
  <mergeCells count="22">
    <mergeCell ref="L5:N5"/>
    <mergeCell ref="O5:Q5"/>
    <mergeCell ref="C14:D14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  <mergeCell ref="B2:I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2"/>
  <sheetViews>
    <sheetView tabSelected="1" view="pageBreakPreview" topLeftCell="A18" zoomScale="80" zoomScaleNormal="100" zoomScaleSheetLayoutView="80" workbookViewId="0">
      <selection activeCell="I36" sqref="I36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8" customWidth="1"/>
    <col min="13" max="13" width="11.140625" style="18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0.710937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12"/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</row>
    <row r="2" spans="1:44" ht="6.75" hidden="1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</row>
    <row r="3" spans="1:44" ht="2.25" customHeight="1" x14ac:dyDescent="0.2">
      <c r="A3" s="313"/>
      <c r="B3" s="314"/>
      <c r="C3" s="315"/>
      <c r="D3" s="316"/>
      <c r="E3" s="316"/>
      <c r="F3" s="316"/>
      <c r="G3" s="316"/>
      <c r="H3" s="316"/>
      <c r="I3" s="12"/>
      <c r="J3" s="12"/>
      <c r="K3" s="12"/>
      <c r="L3" s="12"/>
      <c r="M3" s="12"/>
      <c r="N3" s="22"/>
      <c r="O3" s="22"/>
    </row>
    <row r="4" spans="1:44" ht="7.5" hidden="1" customHeight="1" x14ac:dyDescent="0.2">
      <c r="A4" s="313"/>
      <c r="B4" s="314"/>
      <c r="C4" s="329"/>
      <c r="D4" s="330"/>
      <c r="E4" s="330"/>
      <c r="F4" s="330"/>
      <c r="G4" s="330"/>
      <c r="H4" s="330"/>
      <c r="I4" s="13"/>
      <c r="J4" s="13"/>
      <c r="K4" s="13"/>
      <c r="L4" s="13"/>
      <c r="M4" s="13"/>
    </row>
    <row r="5" spans="1:44" ht="14.25" customHeight="1" x14ac:dyDescent="0.25">
      <c r="A5" s="56"/>
      <c r="B5" s="57"/>
      <c r="C5" s="57"/>
      <c r="D5" s="57"/>
      <c r="E5" s="57"/>
      <c r="F5" s="57"/>
      <c r="G5" s="57"/>
      <c r="H5" s="57"/>
      <c r="I5" s="14"/>
      <c r="J5" s="14"/>
      <c r="K5" s="14"/>
      <c r="L5" s="14"/>
      <c r="M5" s="14"/>
      <c r="N5" s="304" t="s">
        <v>23</v>
      </c>
      <c r="O5" s="305"/>
      <c r="P5" s="305"/>
      <c r="Q5" s="305"/>
      <c r="R5" s="305"/>
    </row>
    <row r="6" spans="1:44" ht="11.25" customHeight="1" x14ac:dyDescent="0.2">
      <c r="A6" s="333" t="s">
        <v>128</v>
      </c>
      <c r="B6" s="333"/>
      <c r="C6" s="333"/>
      <c r="D6" s="333"/>
      <c r="E6" s="333"/>
      <c r="F6" s="333"/>
      <c r="G6" s="333"/>
      <c r="H6" s="333"/>
      <c r="I6" s="333"/>
      <c r="J6" s="333"/>
      <c r="K6" s="333"/>
      <c r="L6" s="333"/>
      <c r="M6" s="333"/>
      <c r="N6" s="306" t="s">
        <v>94</v>
      </c>
      <c r="O6" s="307"/>
      <c r="P6" s="307"/>
      <c r="Q6" s="307"/>
      <c r="R6" s="307"/>
    </row>
    <row r="7" spans="1:44" ht="13.5" customHeight="1" x14ac:dyDescent="0.2">
      <c r="A7" s="333"/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  <c r="N7" s="307"/>
      <c r="O7" s="307"/>
      <c r="P7" s="307"/>
      <c r="Q7" s="307"/>
      <c r="R7" s="307"/>
    </row>
    <row r="8" spans="1:44" ht="24" customHeight="1" x14ac:dyDescent="0.2">
      <c r="A8" s="333"/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07"/>
      <c r="O8" s="307"/>
      <c r="P8" s="307"/>
      <c r="Q8" s="307"/>
      <c r="R8" s="307"/>
    </row>
    <row r="9" spans="1:44" ht="18.75" customHeight="1" x14ac:dyDescent="0.25">
      <c r="A9" s="333"/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08" t="s">
        <v>95</v>
      </c>
      <c r="O9" s="305"/>
      <c r="P9" s="305"/>
      <c r="Q9" s="305"/>
      <c r="R9" s="305"/>
      <c r="AB9" s="74"/>
    </row>
    <row r="10" spans="1:44" ht="25.5" customHeight="1" thickBot="1" x14ac:dyDescent="0.3">
      <c r="A10" s="323"/>
      <c r="B10" s="324"/>
      <c r="C10" s="324"/>
      <c r="D10" s="324"/>
      <c r="E10" s="324"/>
      <c r="F10" s="324"/>
      <c r="G10" s="324"/>
      <c r="H10" s="324"/>
      <c r="I10" s="15"/>
      <c r="J10" s="15"/>
      <c r="K10" s="15"/>
      <c r="L10" s="15"/>
      <c r="M10" s="15"/>
      <c r="U10" s="335">
        <v>665.62049165889675</v>
      </c>
      <c r="V10" s="335"/>
      <c r="W10" s="67" t="s">
        <v>24</v>
      </c>
      <c r="AB10" s="78"/>
    </row>
    <row r="11" spans="1:44" ht="81.599999999999994" customHeight="1" thickBot="1" x14ac:dyDescent="0.3">
      <c r="A11" s="325" t="s">
        <v>18</v>
      </c>
      <c r="B11" s="327" t="s">
        <v>6</v>
      </c>
      <c r="C11" s="331" t="s">
        <v>7</v>
      </c>
      <c r="D11" s="320" t="s">
        <v>97</v>
      </c>
      <c r="E11" s="321"/>
      <c r="F11" s="321"/>
      <c r="G11" s="321"/>
      <c r="H11" s="322"/>
      <c r="I11" s="317" t="s">
        <v>30</v>
      </c>
      <c r="J11" s="318"/>
      <c r="K11" s="318"/>
      <c r="L11" s="318"/>
      <c r="M11" s="319"/>
      <c r="N11" s="309" t="s">
        <v>83</v>
      </c>
      <c r="O11" s="310"/>
      <c r="P11" s="310"/>
      <c r="Q11" s="310"/>
      <c r="R11" s="311"/>
      <c r="S11" s="336" t="s">
        <v>84</v>
      </c>
      <c r="T11" s="337"/>
      <c r="U11" s="337"/>
      <c r="V11" s="337"/>
      <c r="W11" s="337"/>
      <c r="AB11" s="74"/>
    </row>
    <row r="12" spans="1:44" ht="51.75" customHeight="1" thickBot="1" x14ac:dyDescent="0.3">
      <c r="A12" s="326"/>
      <c r="B12" s="328"/>
      <c r="C12" s="332"/>
      <c r="D12" s="29" t="s">
        <v>0</v>
      </c>
      <c r="E12" s="30" t="s">
        <v>1</v>
      </c>
      <c r="F12" s="30" t="s">
        <v>2</v>
      </c>
      <c r="G12" s="47" t="s">
        <v>3</v>
      </c>
      <c r="H12" s="46" t="s">
        <v>8</v>
      </c>
      <c r="I12" s="31" t="s">
        <v>0</v>
      </c>
      <c r="J12" s="32" t="s">
        <v>1</v>
      </c>
      <c r="K12" s="32" t="s">
        <v>2</v>
      </c>
      <c r="L12" s="33" t="s">
        <v>3</v>
      </c>
      <c r="M12" s="52" t="s">
        <v>8</v>
      </c>
      <c r="N12" s="231" t="s">
        <v>0</v>
      </c>
      <c r="O12" s="232" t="s">
        <v>1</v>
      </c>
      <c r="P12" s="232" t="s">
        <v>2</v>
      </c>
      <c r="Q12" s="233" t="s">
        <v>3</v>
      </c>
      <c r="R12" s="52" t="s">
        <v>8</v>
      </c>
      <c r="S12" s="34" t="s">
        <v>0</v>
      </c>
      <c r="T12" s="32" t="s">
        <v>1</v>
      </c>
      <c r="U12" s="32" t="s">
        <v>2</v>
      </c>
      <c r="V12" s="33" t="s">
        <v>3</v>
      </c>
      <c r="W12" s="58" t="s">
        <v>8</v>
      </c>
      <c r="AC12" s="75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</row>
    <row r="13" spans="1:44" ht="14.25" customHeight="1" thickBot="1" x14ac:dyDescent="0.3">
      <c r="A13" s="23">
        <v>1</v>
      </c>
      <c r="B13" s="24">
        <v>2</v>
      </c>
      <c r="C13" s="25">
        <v>3</v>
      </c>
      <c r="D13" s="26">
        <v>4</v>
      </c>
      <c r="E13" s="27">
        <v>5</v>
      </c>
      <c r="F13" s="27">
        <v>6</v>
      </c>
      <c r="G13" s="28">
        <v>7</v>
      </c>
      <c r="H13" s="48">
        <v>8</v>
      </c>
      <c r="I13" s="49">
        <v>9</v>
      </c>
      <c r="J13" s="50">
        <v>10</v>
      </c>
      <c r="K13" s="50">
        <v>11</v>
      </c>
      <c r="L13" s="51">
        <v>12</v>
      </c>
      <c r="M13" s="53">
        <v>13</v>
      </c>
      <c r="N13" s="49">
        <v>14</v>
      </c>
      <c r="O13" s="50">
        <v>15</v>
      </c>
      <c r="P13" s="50">
        <v>16</v>
      </c>
      <c r="Q13" s="234">
        <v>17</v>
      </c>
      <c r="R13" s="53">
        <v>18</v>
      </c>
      <c r="S13" s="223">
        <v>32</v>
      </c>
      <c r="T13" s="50">
        <v>33</v>
      </c>
      <c r="U13" s="50">
        <v>34</v>
      </c>
      <c r="V13" s="51">
        <v>35</v>
      </c>
      <c r="W13" s="53">
        <v>36</v>
      </c>
      <c r="Y13" s="72" t="s">
        <v>34</v>
      </c>
      <c r="Z13" s="73" t="s">
        <v>35</v>
      </c>
      <c r="AA13" s="291">
        <v>73.239249999999998</v>
      </c>
      <c r="AB13" s="81"/>
      <c r="AC13" s="79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</row>
    <row r="14" spans="1:44" ht="15" x14ac:dyDescent="0.25">
      <c r="A14" s="347" t="s">
        <v>45</v>
      </c>
      <c r="B14" s="348"/>
      <c r="C14" s="348"/>
      <c r="D14" s="19"/>
      <c r="E14" s="20"/>
      <c r="F14" s="20"/>
      <c r="G14" s="20"/>
      <c r="H14" s="21"/>
      <c r="I14" s="19"/>
      <c r="J14" s="20"/>
      <c r="K14" s="20"/>
      <c r="L14" s="20"/>
      <c r="M14" s="21"/>
      <c r="N14" s="38"/>
      <c r="O14" s="39"/>
      <c r="P14" s="39"/>
      <c r="Q14" s="39"/>
      <c r="R14" s="40"/>
      <c r="S14" s="39"/>
      <c r="T14" s="39"/>
      <c r="U14" s="39"/>
      <c r="V14" s="39"/>
      <c r="W14" s="40"/>
      <c r="Y14" s="76"/>
      <c r="Z14" s="77" t="s">
        <v>40</v>
      </c>
      <c r="AA14" s="292">
        <v>73.239249999999998</v>
      </c>
      <c r="AB14" s="81"/>
      <c r="AC14" s="80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</row>
    <row r="15" spans="1:44" ht="22.5" x14ac:dyDescent="0.25">
      <c r="A15" s="8">
        <v>1</v>
      </c>
      <c r="B15" s="59" t="s">
        <v>31</v>
      </c>
      <c r="C15" s="6" t="s">
        <v>124</v>
      </c>
      <c r="D15" s="143">
        <v>625.82719999999995</v>
      </c>
      <c r="E15" s="94"/>
      <c r="F15" s="94"/>
      <c r="G15" s="95"/>
      <c r="H15" s="96">
        <v>625.82719999999995</v>
      </c>
      <c r="I15" s="93">
        <v>70.16</v>
      </c>
      <c r="J15" s="94"/>
      <c r="K15" s="94"/>
      <c r="L15" s="95"/>
      <c r="M15" s="96">
        <v>70.16</v>
      </c>
      <c r="N15" s="230">
        <v>531.81279999999992</v>
      </c>
      <c r="O15" s="138"/>
      <c r="P15" s="138"/>
      <c r="Q15" s="138"/>
      <c r="R15" s="96">
        <v>531.81279999999992</v>
      </c>
      <c r="S15" s="137">
        <v>531.81279999999992</v>
      </c>
      <c r="T15" s="138"/>
      <c r="U15" s="138"/>
      <c r="V15" s="138"/>
      <c r="W15" s="96">
        <v>531.81279999999992</v>
      </c>
      <c r="Y15" s="72" t="s">
        <v>85</v>
      </c>
      <c r="Z15" s="73" t="s">
        <v>35</v>
      </c>
      <c r="AA15" s="291">
        <v>704.50190934407522</v>
      </c>
      <c r="AB15" s="81"/>
      <c r="AC15" s="82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</row>
    <row r="16" spans="1:44" ht="15.75" thickBot="1" x14ac:dyDescent="0.3">
      <c r="A16" s="9">
        <v>2</v>
      </c>
      <c r="B16" s="3" t="s">
        <v>17</v>
      </c>
      <c r="C16" s="60" t="s">
        <v>51</v>
      </c>
      <c r="D16" s="97">
        <v>625.82719999999995</v>
      </c>
      <c r="E16" s="98"/>
      <c r="F16" s="98"/>
      <c r="G16" s="98"/>
      <c r="H16" s="99">
        <v>625.82719999999995</v>
      </c>
      <c r="I16" s="97">
        <v>70.16</v>
      </c>
      <c r="J16" s="98"/>
      <c r="K16" s="98"/>
      <c r="L16" s="98"/>
      <c r="M16" s="99">
        <v>70.16</v>
      </c>
      <c r="N16" s="97">
        <v>531.81279999999992</v>
      </c>
      <c r="O16" s="98"/>
      <c r="P16" s="98"/>
      <c r="Q16" s="98"/>
      <c r="R16" s="99">
        <v>531.81279999999992</v>
      </c>
      <c r="S16" s="112">
        <v>531.81279999999992</v>
      </c>
      <c r="T16" s="98"/>
      <c r="U16" s="98"/>
      <c r="V16" s="98"/>
      <c r="W16" s="99">
        <v>531.81279999999992</v>
      </c>
      <c r="Y16" s="72"/>
      <c r="Z16" s="77" t="s">
        <v>52</v>
      </c>
      <c r="AA16" s="293">
        <v>665.62049165889675</v>
      </c>
      <c r="AB16" s="81"/>
      <c r="AC16" s="82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</row>
    <row r="17" spans="1:44" ht="15" x14ac:dyDescent="0.25">
      <c r="A17" s="347" t="s">
        <v>26</v>
      </c>
      <c r="B17" s="348"/>
      <c r="C17" s="348"/>
      <c r="D17" s="100"/>
      <c r="E17" s="101"/>
      <c r="F17" s="101"/>
      <c r="G17" s="101"/>
      <c r="H17" s="102"/>
      <c r="I17" s="100"/>
      <c r="J17" s="101"/>
      <c r="K17" s="101"/>
      <c r="L17" s="101"/>
      <c r="M17" s="102"/>
      <c r="N17" s="100"/>
      <c r="O17" s="101"/>
      <c r="P17" s="101"/>
      <c r="Q17" s="101"/>
      <c r="R17" s="102"/>
      <c r="S17" s="101"/>
      <c r="T17" s="101"/>
      <c r="U17" s="101"/>
      <c r="V17" s="101"/>
      <c r="W17" s="102"/>
      <c r="Y17" s="72"/>
      <c r="Z17" s="77" t="s">
        <v>53</v>
      </c>
      <c r="AA17" s="293">
        <v>38.881417685178462</v>
      </c>
      <c r="AB17" s="294">
        <v>38.88141768517832</v>
      </c>
      <c r="AC17" s="82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</row>
    <row r="18" spans="1:44" ht="22.5" x14ac:dyDescent="0.2">
      <c r="A18" s="8">
        <v>3</v>
      </c>
      <c r="B18" s="59" t="s">
        <v>31</v>
      </c>
      <c r="C18" s="68" t="s">
        <v>49</v>
      </c>
      <c r="D18" s="93">
        <v>0</v>
      </c>
      <c r="E18" s="94"/>
      <c r="F18" s="94"/>
      <c r="G18" s="95"/>
      <c r="H18" s="96">
        <v>0</v>
      </c>
      <c r="I18" s="93">
        <v>0</v>
      </c>
      <c r="J18" s="94"/>
      <c r="K18" s="94"/>
      <c r="L18" s="95"/>
      <c r="M18" s="96">
        <v>0</v>
      </c>
      <c r="N18" s="93">
        <v>0</v>
      </c>
      <c r="O18" s="94"/>
      <c r="P18" s="94"/>
      <c r="Q18" s="95"/>
      <c r="R18" s="96">
        <v>0</v>
      </c>
      <c r="S18" s="224">
        <v>0</v>
      </c>
      <c r="T18" s="94"/>
      <c r="U18" s="94"/>
      <c r="V18" s="95"/>
      <c r="W18" s="96">
        <v>0</v>
      </c>
      <c r="Y18" s="298" t="s">
        <v>36</v>
      </c>
      <c r="Z18" s="301" t="s">
        <v>37</v>
      </c>
      <c r="AA18" s="302"/>
      <c r="AB18" s="302"/>
      <c r="AC18" s="303"/>
      <c r="AD18" s="298" t="s">
        <v>125</v>
      </c>
      <c r="AE18" s="301" t="s">
        <v>37</v>
      </c>
      <c r="AF18" s="302"/>
      <c r="AG18" s="302"/>
      <c r="AH18" s="303"/>
      <c r="AI18" s="298" t="s">
        <v>38</v>
      </c>
      <c r="AJ18" s="301" t="s">
        <v>37</v>
      </c>
      <c r="AK18" s="302"/>
      <c r="AL18" s="302"/>
      <c r="AM18" s="303"/>
      <c r="AN18" s="298" t="s">
        <v>39</v>
      </c>
      <c r="AO18" s="301" t="s">
        <v>37</v>
      </c>
      <c r="AP18" s="302"/>
      <c r="AQ18" s="302"/>
      <c r="AR18" s="303"/>
    </row>
    <row r="19" spans="1:44" ht="24.75" thickBot="1" x14ac:dyDescent="0.25">
      <c r="A19" s="9">
        <v>4</v>
      </c>
      <c r="B19" s="3" t="s">
        <v>17</v>
      </c>
      <c r="C19" s="60" t="s">
        <v>27</v>
      </c>
      <c r="D19" s="97">
        <v>0</v>
      </c>
      <c r="E19" s="98"/>
      <c r="F19" s="98"/>
      <c r="G19" s="103"/>
      <c r="H19" s="99">
        <v>0</v>
      </c>
      <c r="I19" s="97">
        <v>0</v>
      </c>
      <c r="J19" s="98"/>
      <c r="K19" s="98"/>
      <c r="L19" s="103"/>
      <c r="M19" s="99">
        <v>0</v>
      </c>
      <c r="N19" s="97">
        <v>0</v>
      </c>
      <c r="O19" s="98"/>
      <c r="P19" s="98"/>
      <c r="Q19" s="103"/>
      <c r="R19" s="99">
        <v>0</v>
      </c>
      <c r="S19" s="112">
        <v>0</v>
      </c>
      <c r="T19" s="98">
        <v>0</v>
      </c>
      <c r="U19" s="98"/>
      <c r="V19" s="103"/>
      <c r="W19" s="99">
        <v>0</v>
      </c>
      <c r="Y19" s="299"/>
      <c r="Z19" s="83" t="s">
        <v>40</v>
      </c>
      <c r="AA19" s="83" t="s">
        <v>41</v>
      </c>
      <c r="AB19" s="83" t="s">
        <v>42</v>
      </c>
      <c r="AC19" s="83" t="s">
        <v>43</v>
      </c>
      <c r="AD19" s="299"/>
      <c r="AE19" s="83" t="s">
        <v>40</v>
      </c>
      <c r="AF19" s="83" t="s">
        <v>41</v>
      </c>
      <c r="AG19" s="83" t="s">
        <v>42</v>
      </c>
      <c r="AH19" s="83" t="s">
        <v>43</v>
      </c>
      <c r="AI19" s="299"/>
      <c r="AJ19" s="83" t="s">
        <v>40</v>
      </c>
      <c r="AK19" s="83" t="s">
        <v>41</v>
      </c>
      <c r="AL19" s="83" t="s">
        <v>42</v>
      </c>
      <c r="AM19" s="83" t="s">
        <v>43</v>
      </c>
      <c r="AN19" s="299"/>
      <c r="AO19" s="83" t="s">
        <v>40</v>
      </c>
      <c r="AP19" s="83" t="s">
        <v>41</v>
      </c>
      <c r="AQ19" s="83" t="s">
        <v>42</v>
      </c>
      <c r="AR19" s="83" t="s">
        <v>43</v>
      </c>
    </row>
    <row r="20" spans="1:44" ht="15.75" thickBot="1" x14ac:dyDescent="0.25">
      <c r="A20" s="338" t="s">
        <v>9</v>
      </c>
      <c r="B20" s="339"/>
      <c r="C20" s="340"/>
      <c r="D20" s="100"/>
      <c r="E20" s="101"/>
      <c r="F20" s="101"/>
      <c r="G20" s="101"/>
      <c r="H20" s="104"/>
      <c r="I20" s="100"/>
      <c r="J20" s="101"/>
      <c r="K20" s="101"/>
      <c r="L20" s="101"/>
      <c r="M20" s="104"/>
      <c r="N20" s="100"/>
      <c r="O20" s="101"/>
      <c r="P20" s="101"/>
      <c r="Q20" s="101"/>
      <c r="R20" s="104"/>
      <c r="S20" s="101"/>
      <c r="T20" s="101"/>
      <c r="U20" s="101"/>
      <c r="V20" s="101"/>
      <c r="W20" s="104"/>
      <c r="Y20" s="84">
        <v>822.04310104299998</v>
      </c>
      <c r="Z20" s="84">
        <v>73.239249999999998</v>
      </c>
      <c r="AA20" s="84">
        <v>0</v>
      </c>
      <c r="AB20" s="84">
        <v>644.60201599999994</v>
      </c>
      <c r="AC20" s="84">
        <v>104.20183504300007</v>
      </c>
      <c r="AD20" s="84">
        <v>104.66739489999999</v>
      </c>
      <c r="AE20" s="84">
        <v>20.0458</v>
      </c>
      <c r="AF20" s="84">
        <v>0</v>
      </c>
      <c r="AG20" s="84">
        <v>72.264799999999994</v>
      </c>
      <c r="AH20" s="84">
        <v>12.356794899999997</v>
      </c>
      <c r="AI20" s="295">
        <v>1079.6705490629645</v>
      </c>
      <c r="AJ20" s="296">
        <v>73.239249999999998</v>
      </c>
      <c r="AK20" s="295">
        <v>0</v>
      </c>
      <c r="AL20" s="295">
        <v>866.20778492905322</v>
      </c>
      <c r="AM20" s="295">
        <v>140.22351413391129</v>
      </c>
      <c r="AN20" s="295">
        <v>777.74115934407519</v>
      </c>
      <c r="AO20" s="295">
        <v>73.239249999999998</v>
      </c>
      <c r="AP20" s="295">
        <v>0</v>
      </c>
      <c r="AQ20" s="295">
        <v>606.34544945033724</v>
      </c>
      <c r="AR20" s="295">
        <v>98.156459893737974</v>
      </c>
    </row>
    <row r="21" spans="1:44" ht="22.5" x14ac:dyDescent="0.2">
      <c r="A21" s="41">
        <v>5</v>
      </c>
      <c r="B21" s="42" t="s">
        <v>31</v>
      </c>
      <c r="C21" s="69" t="s">
        <v>46</v>
      </c>
      <c r="D21" s="92">
        <v>0</v>
      </c>
      <c r="E21" s="105"/>
      <c r="F21" s="105"/>
      <c r="G21" s="106"/>
      <c r="H21" s="107">
        <v>0</v>
      </c>
      <c r="I21" s="92">
        <v>0</v>
      </c>
      <c r="J21" s="105"/>
      <c r="K21" s="105"/>
      <c r="L21" s="106"/>
      <c r="M21" s="107">
        <v>0</v>
      </c>
      <c r="N21" s="119">
        <v>0</v>
      </c>
      <c r="O21" s="105"/>
      <c r="P21" s="105"/>
      <c r="Q21" s="106"/>
      <c r="R21" s="107">
        <v>0</v>
      </c>
      <c r="S21" s="92">
        <v>0</v>
      </c>
      <c r="T21" s="105">
        <v>0</v>
      </c>
      <c r="U21" s="105"/>
      <c r="V21" s="106"/>
      <c r="W21" s="107">
        <v>0</v>
      </c>
    </row>
    <row r="22" spans="1:44" ht="33.75" x14ac:dyDescent="0.2">
      <c r="A22" s="9">
        <v>6</v>
      </c>
      <c r="B22" s="3" t="s">
        <v>31</v>
      </c>
      <c r="C22" s="37" t="s">
        <v>47</v>
      </c>
      <c r="D22" s="108"/>
      <c r="E22" s="109"/>
      <c r="F22" s="109"/>
      <c r="G22" s="110">
        <v>0</v>
      </c>
      <c r="H22" s="111">
        <v>0</v>
      </c>
      <c r="I22" s="108"/>
      <c r="J22" s="109"/>
      <c r="K22" s="109"/>
      <c r="L22" s="110">
        <v>0</v>
      </c>
      <c r="M22" s="111">
        <v>0</v>
      </c>
      <c r="N22" s="121"/>
      <c r="O22" s="109"/>
      <c r="P22" s="109"/>
      <c r="Q22" s="110"/>
      <c r="R22" s="111">
        <v>0</v>
      </c>
      <c r="S22" s="108"/>
      <c r="T22" s="109"/>
      <c r="U22" s="109"/>
      <c r="V22" s="110">
        <v>0</v>
      </c>
      <c r="W22" s="111">
        <v>0</v>
      </c>
    </row>
    <row r="23" spans="1:44" x14ac:dyDescent="0.2">
      <c r="A23" s="9">
        <v>7</v>
      </c>
      <c r="B23" s="3" t="s">
        <v>31</v>
      </c>
      <c r="C23" s="37" t="s">
        <v>48</v>
      </c>
      <c r="D23" s="108"/>
      <c r="E23" s="109"/>
      <c r="F23" s="109"/>
      <c r="G23" s="110">
        <v>69.149500000000003</v>
      </c>
      <c r="H23" s="111">
        <v>69.149500000000003</v>
      </c>
      <c r="I23" s="108"/>
      <c r="J23" s="109"/>
      <c r="K23" s="109"/>
      <c r="L23" s="110">
        <v>8.0500000000000007</v>
      </c>
      <c r="M23" s="111">
        <v>8.0500000000000007</v>
      </c>
      <c r="N23" s="121"/>
      <c r="O23" s="109"/>
      <c r="P23" s="109"/>
      <c r="Q23" s="110">
        <v>60.616500000000009</v>
      </c>
      <c r="R23" s="111">
        <v>60.616500000000009</v>
      </c>
      <c r="S23" s="108"/>
      <c r="T23" s="109"/>
      <c r="U23" s="109"/>
      <c r="V23" s="110">
        <v>60.616500000000009</v>
      </c>
      <c r="W23" s="111">
        <v>60.616500000000009</v>
      </c>
    </row>
    <row r="24" spans="1:44" hidden="1" x14ac:dyDescent="0.2">
      <c r="A24" s="9">
        <v>10</v>
      </c>
      <c r="B24" s="3"/>
      <c r="C24" s="37"/>
      <c r="D24" s="108"/>
      <c r="E24" s="109"/>
      <c r="F24" s="109"/>
      <c r="G24" s="110"/>
      <c r="H24" s="111"/>
      <c r="I24" s="108"/>
      <c r="J24" s="109"/>
      <c r="K24" s="109"/>
      <c r="L24" s="110"/>
      <c r="M24" s="111"/>
      <c r="N24" s="121"/>
      <c r="O24" s="109"/>
      <c r="P24" s="109"/>
      <c r="Q24" s="110">
        <v>0</v>
      </c>
      <c r="R24" s="111">
        <v>0</v>
      </c>
      <c r="S24" s="108"/>
      <c r="T24" s="109"/>
      <c r="U24" s="109"/>
      <c r="V24" s="110">
        <v>0</v>
      </c>
      <c r="W24" s="111">
        <v>0</v>
      </c>
    </row>
    <row r="25" spans="1:44" x14ac:dyDescent="0.2">
      <c r="A25" s="10">
        <v>8</v>
      </c>
      <c r="B25" s="3" t="s">
        <v>17</v>
      </c>
      <c r="C25" s="61" t="s">
        <v>10</v>
      </c>
      <c r="D25" s="112">
        <v>0</v>
      </c>
      <c r="E25" s="98">
        <v>0</v>
      </c>
      <c r="F25" s="98">
        <v>0</v>
      </c>
      <c r="G25" s="98">
        <v>69.149500000000003</v>
      </c>
      <c r="H25" s="113">
        <v>69.149500000000003</v>
      </c>
      <c r="I25" s="112">
        <v>0</v>
      </c>
      <c r="J25" s="98">
        <v>0</v>
      </c>
      <c r="K25" s="98">
        <v>0</v>
      </c>
      <c r="L25" s="98">
        <v>8.0500000000000007</v>
      </c>
      <c r="M25" s="113">
        <v>8.0500000000000007</v>
      </c>
      <c r="N25" s="97">
        <v>0</v>
      </c>
      <c r="O25" s="98">
        <v>0</v>
      </c>
      <c r="P25" s="98">
        <v>0</v>
      </c>
      <c r="Q25" s="98">
        <v>60.616500000000009</v>
      </c>
      <c r="R25" s="113">
        <v>60.616500000000009</v>
      </c>
      <c r="S25" s="112">
        <v>0</v>
      </c>
      <c r="T25" s="98">
        <v>0</v>
      </c>
      <c r="U25" s="98">
        <v>0</v>
      </c>
      <c r="V25" s="98">
        <v>60.616500000000009</v>
      </c>
      <c r="W25" s="113">
        <v>60.616500000000009</v>
      </c>
    </row>
    <row r="26" spans="1:44" ht="13.5" thickBot="1" x14ac:dyDescent="0.25">
      <c r="A26" s="43">
        <v>9</v>
      </c>
      <c r="B26" s="44" t="s">
        <v>17</v>
      </c>
      <c r="C26" s="62" t="s">
        <v>4</v>
      </c>
      <c r="D26" s="114">
        <v>625.82719999999995</v>
      </c>
      <c r="E26" s="115">
        <v>0</v>
      </c>
      <c r="F26" s="115">
        <v>0</v>
      </c>
      <c r="G26" s="116">
        <v>69.149500000000003</v>
      </c>
      <c r="H26" s="117">
        <v>694.97669999999994</v>
      </c>
      <c r="I26" s="114">
        <v>70.16</v>
      </c>
      <c r="J26" s="115">
        <v>0</v>
      </c>
      <c r="K26" s="115">
        <v>0</v>
      </c>
      <c r="L26" s="116">
        <v>8.0500000000000007</v>
      </c>
      <c r="M26" s="117">
        <v>78.209999999999994</v>
      </c>
      <c r="N26" s="120">
        <v>531.81279999999992</v>
      </c>
      <c r="O26" s="115">
        <v>0</v>
      </c>
      <c r="P26" s="115">
        <v>0</v>
      </c>
      <c r="Q26" s="116">
        <v>60.616500000000009</v>
      </c>
      <c r="R26" s="117">
        <v>592.4292999999999</v>
      </c>
      <c r="S26" s="114">
        <v>531.81279999999992</v>
      </c>
      <c r="T26" s="115">
        <v>0</v>
      </c>
      <c r="U26" s="115">
        <v>0</v>
      </c>
      <c r="V26" s="116">
        <v>60.616500000000009</v>
      </c>
      <c r="W26" s="117">
        <v>592.4292999999999</v>
      </c>
    </row>
    <row r="27" spans="1:44" ht="15.75" thickBot="1" x14ac:dyDescent="0.25">
      <c r="A27" s="338" t="s">
        <v>11</v>
      </c>
      <c r="B27" s="339"/>
      <c r="C27" s="339"/>
      <c r="D27" s="100"/>
      <c r="E27" s="101"/>
      <c r="F27" s="101"/>
      <c r="G27" s="101"/>
      <c r="H27" s="118"/>
      <c r="I27" s="100"/>
      <c r="J27" s="101"/>
      <c r="K27" s="101"/>
      <c r="L27" s="101"/>
      <c r="M27" s="118"/>
      <c r="N27" s="100"/>
      <c r="O27" s="101"/>
      <c r="P27" s="101"/>
      <c r="Q27" s="101"/>
      <c r="R27" s="118"/>
      <c r="S27" s="101"/>
      <c r="T27" s="101"/>
      <c r="U27" s="101"/>
      <c r="V27" s="101"/>
      <c r="W27" s="118"/>
    </row>
    <row r="28" spans="1:44" ht="33.75" x14ac:dyDescent="0.2">
      <c r="A28" s="41">
        <v>10</v>
      </c>
      <c r="B28" s="45" t="s">
        <v>31</v>
      </c>
      <c r="C28" s="285" t="s">
        <v>32</v>
      </c>
      <c r="D28" s="92"/>
      <c r="E28" s="105"/>
      <c r="F28" s="105"/>
      <c r="G28" s="105">
        <v>14.872501380000001</v>
      </c>
      <c r="H28" s="107">
        <v>14.872501380000001</v>
      </c>
      <c r="I28" s="92"/>
      <c r="J28" s="105"/>
      <c r="K28" s="105"/>
      <c r="L28" s="105">
        <v>1.673694</v>
      </c>
      <c r="M28" s="107">
        <v>1.673694</v>
      </c>
      <c r="N28" s="92"/>
      <c r="O28" s="105"/>
      <c r="P28" s="105"/>
      <c r="Q28" s="105">
        <v>12.67798702</v>
      </c>
      <c r="R28" s="107">
        <v>12.67798702</v>
      </c>
      <c r="S28" s="92"/>
      <c r="T28" s="105"/>
      <c r="U28" s="105"/>
      <c r="V28" s="106"/>
      <c r="W28" s="107">
        <v>0</v>
      </c>
    </row>
    <row r="29" spans="1:44" ht="33.75" x14ac:dyDescent="0.2">
      <c r="A29" s="9">
        <v>11</v>
      </c>
      <c r="B29" s="3"/>
      <c r="C29" s="286" t="s">
        <v>96</v>
      </c>
      <c r="D29" s="108"/>
      <c r="E29" s="109"/>
      <c r="F29" s="109"/>
      <c r="G29" s="109">
        <v>15.01149672</v>
      </c>
      <c r="H29" s="111">
        <v>15.01149672</v>
      </c>
      <c r="I29" s="108"/>
      <c r="J29" s="109"/>
      <c r="K29" s="109"/>
      <c r="L29" s="109">
        <v>1.6893359999999999</v>
      </c>
      <c r="M29" s="111">
        <v>1.6893359999999999</v>
      </c>
      <c r="N29" s="108"/>
      <c r="O29" s="109"/>
      <c r="P29" s="109"/>
      <c r="Q29" s="109">
        <v>12.796472879999998</v>
      </c>
      <c r="R29" s="111">
        <v>12.796472879999998</v>
      </c>
      <c r="S29" s="238"/>
      <c r="T29" s="235"/>
      <c r="U29" s="235"/>
      <c r="V29" s="236"/>
      <c r="W29" s="237"/>
    </row>
    <row r="30" spans="1:44" x14ac:dyDescent="0.2">
      <c r="A30" s="9">
        <v>12</v>
      </c>
      <c r="B30" s="3" t="s">
        <v>17</v>
      </c>
      <c r="C30" s="61" t="s">
        <v>12</v>
      </c>
      <c r="D30" s="112">
        <v>0</v>
      </c>
      <c r="E30" s="98">
        <v>0</v>
      </c>
      <c r="F30" s="98">
        <v>0</v>
      </c>
      <c r="G30" s="98">
        <v>29.883998099999999</v>
      </c>
      <c r="H30" s="113">
        <v>29.883998099999999</v>
      </c>
      <c r="I30" s="112">
        <v>0</v>
      </c>
      <c r="J30" s="98">
        <v>0</v>
      </c>
      <c r="K30" s="98">
        <v>0</v>
      </c>
      <c r="L30" s="98">
        <v>3.3630300000000002</v>
      </c>
      <c r="M30" s="113">
        <v>3.3630300000000002</v>
      </c>
      <c r="N30" s="112">
        <v>0</v>
      </c>
      <c r="O30" s="98">
        <v>0</v>
      </c>
      <c r="P30" s="98">
        <v>0</v>
      </c>
      <c r="Q30" s="103">
        <v>25.474459899999999</v>
      </c>
      <c r="R30" s="113">
        <v>25.474459899999999</v>
      </c>
      <c r="S30" s="112">
        <v>0</v>
      </c>
      <c r="T30" s="98">
        <v>0</v>
      </c>
      <c r="U30" s="98">
        <v>0</v>
      </c>
      <c r="V30" s="103">
        <v>0</v>
      </c>
      <c r="W30" s="113">
        <v>0</v>
      </c>
    </row>
    <row r="31" spans="1:44" ht="13.5" thickBot="1" x14ac:dyDescent="0.25">
      <c r="A31" s="11">
        <v>13</v>
      </c>
      <c r="B31" s="44" t="s">
        <v>17</v>
      </c>
      <c r="C31" s="287" t="s">
        <v>19</v>
      </c>
      <c r="D31" s="114">
        <v>625.82719999999995</v>
      </c>
      <c r="E31" s="115">
        <v>0</v>
      </c>
      <c r="F31" s="115">
        <v>0</v>
      </c>
      <c r="G31" s="115">
        <v>99.033498100000003</v>
      </c>
      <c r="H31" s="117">
        <v>724.86069809999992</v>
      </c>
      <c r="I31" s="114">
        <v>70.16</v>
      </c>
      <c r="J31" s="115">
        <v>0</v>
      </c>
      <c r="K31" s="115">
        <v>0</v>
      </c>
      <c r="L31" s="115">
        <v>11.413030000000001</v>
      </c>
      <c r="M31" s="117">
        <v>81.573029999999989</v>
      </c>
      <c r="N31" s="114">
        <v>531.81279999999992</v>
      </c>
      <c r="O31" s="115">
        <v>0</v>
      </c>
      <c r="P31" s="115">
        <v>0</v>
      </c>
      <c r="Q31" s="116">
        <v>86.090959900000001</v>
      </c>
      <c r="R31" s="117">
        <v>617.90375989999984</v>
      </c>
      <c r="S31" s="114">
        <v>531.81279999999992</v>
      </c>
      <c r="T31" s="115">
        <v>0</v>
      </c>
      <c r="U31" s="115">
        <v>0</v>
      </c>
      <c r="V31" s="116">
        <v>60.616500000000009</v>
      </c>
      <c r="W31" s="117">
        <v>592.4292999999999</v>
      </c>
    </row>
    <row r="32" spans="1:44" ht="15" x14ac:dyDescent="0.2">
      <c r="A32" s="349" t="s">
        <v>20</v>
      </c>
      <c r="B32" s="350"/>
      <c r="C32" s="350"/>
      <c r="D32" s="284"/>
      <c r="E32" s="269"/>
      <c r="F32" s="269"/>
      <c r="G32" s="269"/>
      <c r="H32" s="269"/>
      <c r="I32" s="275"/>
      <c r="J32" s="276"/>
      <c r="K32" s="276"/>
      <c r="L32" s="276"/>
      <c r="M32" s="277"/>
      <c r="N32" s="101"/>
      <c r="O32" s="101"/>
      <c r="P32" s="101"/>
      <c r="Q32" s="101"/>
      <c r="R32" s="104"/>
      <c r="S32" s="101"/>
      <c r="T32" s="101"/>
      <c r="U32" s="101"/>
      <c r="V32" s="101"/>
      <c r="W32" s="104"/>
    </row>
    <row r="33" spans="1:25" x14ac:dyDescent="0.2">
      <c r="A33" s="9">
        <v>14</v>
      </c>
      <c r="B33" s="3" t="s">
        <v>31</v>
      </c>
      <c r="C33" s="71" t="s">
        <v>33</v>
      </c>
      <c r="D33" s="121"/>
      <c r="E33" s="109"/>
      <c r="F33" s="109"/>
      <c r="G33" s="122">
        <v>56.442999999999998</v>
      </c>
      <c r="H33" s="110">
        <v>56.442999999999998</v>
      </c>
      <c r="I33" s="121"/>
      <c r="J33" s="109"/>
      <c r="K33" s="109"/>
      <c r="L33" s="109">
        <v>15.506399999999999</v>
      </c>
      <c r="M33" s="111">
        <v>15.506399999999999</v>
      </c>
      <c r="N33" s="108"/>
      <c r="O33" s="109"/>
      <c r="P33" s="109"/>
      <c r="Q33" s="110">
        <v>56.443129999999996</v>
      </c>
      <c r="R33" s="111">
        <v>56.443129999999996</v>
      </c>
      <c r="S33" s="108"/>
      <c r="T33" s="109"/>
      <c r="U33" s="109"/>
      <c r="V33" s="110"/>
      <c r="W33" s="111"/>
    </row>
    <row r="34" spans="1:25" x14ac:dyDescent="0.2">
      <c r="A34" s="9">
        <v>15</v>
      </c>
      <c r="B34" s="3" t="s">
        <v>31</v>
      </c>
      <c r="C34" s="70" t="s">
        <v>50</v>
      </c>
      <c r="D34" s="121"/>
      <c r="E34" s="109"/>
      <c r="F34" s="109"/>
      <c r="G34" s="122">
        <v>16.796399999999998</v>
      </c>
      <c r="H34" s="110">
        <v>16.796399999999998</v>
      </c>
      <c r="I34" s="121"/>
      <c r="J34" s="109"/>
      <c r="K34" s="109"/>
      <c r="L34" s="109">
        <v>4.5393999999999997</v>
      </c>
      <c r="M34" s="111">
        <v>4.5393999999999997</v>
      </c>
      <c r="N34" s="108"/>
      <c r="O34" s="109"/>
      <c r="P34" s="109"/>
      <c r="Q34" s="110">
        <v>16.796119999999998</v>
      </c>
      <c r="R34" s="111">
        <v>16.796119999999998</v>
      </c>
      <c r="S34" s="108"/>
      <c r="T34" s="109"/>
      <c r="U34" s="109"/>
      <c r="V34" s="110"/>
      <c r="W34" s="111"/>
    </row>
    <row r="35" spans="1:25" x14ac:dyDescent="0.2">
      <c r="A35" s="9">
        <v>16</v>
      </c>
      <c r="B35" s="3" t="s">
        <v>17</v>
      </c>
      <c r="C35" s="60" t="s">
        <v>13</v>
      </c>
      <c r="D35" s="97">
        <v>0</v>
      </c>
      <c r="E35" s="98">
        <v>0</v>
      </c>
      <c r="F35" s="98">
        <v>0</v>
      </c>
      <c r="G35" s="103">
        <v>73.239399999999989</v>
      </c>
      <c r="H35" s="103">
        <v>73.239399999999989</v>
      </c>
      <c r="I35" s="97">
        <v>0</v>
      </c>
      <c r="J35" s="98">
        <v>0</v>
      </c>
      <c r="K35" s="98">
        <v>0</v>
      </c>
      <c r="L35" s="98">
        <v>20.0458</v>
      </c>
      <c r="M35" s="113">
        <v>20.0458</v>
      </c>
      <c r="N35" s="112">
        <v>0</v>
      </c>
      <c r="O35" s="98">
        <v>0</v>
      </c>
      <c r="P35" s="98">
        <v>0</v>
      </c>
      <c r="Q35" s="103">
        <v>73.239249999999998</v>
      </c>
      <c r="R35" s="113">
        <v>73.239249999999998</v>
      </c>
      <c r="S35" s="112">
        <v>0</v>
      </c>
      <c r="T35" s="98">
        <v>0</v>
      </c>
      <c r="U35" s="98">
        <v>0</v>
      </c>
      <c r="V35" s="103">
        <v>0</v>
      </c>
      <c r="W35" s="113">
        <v>0</v>
      </c>
    </row>
    <row r="36" spans="1:25" ht="13.5" thickBot="1" x14ac:dyDescent="0.25">
      <c r="A36" s="9">
        <v>17</v>
      </c>
      <c r="B36" s="3" t="s">
        <v>17</v>
      </c>
      <c r="C36" s="66" t="s">
        <v>21</v>
      </c>
      <c r="D36" s="97">
        <v>625.82719999999995</v>
      </c>
      <c r="E36" s="98">
        <v>0</v>
      </c>
      <c r="F36" s="98">
        <v>0</v>
      </c>
      <c r="G36" s="103">
        <v>172.27289809999999</v>
      </c>
      <c r="H36" s="116">
        <v>798.10009809999997</v>
      </c>
      <c r="I36" s="120">
        <v>70.16</v>
      </c>
      <c r="J36" s="115">
        <v>0</v>
      </c>
      <c r="K36" s="115">
        <v>0</v>
      </c>
      <c r="L36" s="115">
        <v>31.458829999999999</v>
      </c>
      <c r="M36" s="117">
        <v>101.61882999999999</v>
      </c>
      <c r="N36" s="112">
        <v>531.81279999999992</v>
      </c>
      <c r="O36" s="98">
        <v>0</v>
      </c>
      <c r="P36" s="98">
        <v>0</v>
      </c>
      <c r="Q36" s="103">
        <v>159.3302099</v>
      </c>
      <c r="R36" s="117">
        <v>691.14300989999992</v>
      </c>
      <c r="S36" s="112">
        <v>531.81279999999992</v>
      </c>
      <c r="T36" s="98">
        <v>0</v>
      </c>
      <c r="U36" s="98">
        <v>0</v>
      </c>
      <c r="V36" s="103">
        <v>60.616500000000009</v>
      </c>
      <c r="W36" s="117">
        <v>592.4292999999999</v>
      </c>
    </row>
    <row r="37" spans="1:25" ht="15.75" thickBot="1" x14ac:dyDescent="0.25">
      <c r="A37" s="347"/>
      <c r="B37" s="348"/>
      <c r="C37" s="348"/>
      <c r="D37" s="100"/>
      <c r="E37" s="101"/>
      <c r="F37" s="101"/>
      <c r="G37" s="101"/>
      <c r="H37" s="101"/>
      <c r="I37" s="278"/>
      <c r="J37" s="279"/>
      <c r="K37" s="279"/>
      <c r="L37" s="279"/>
      <c r="M37" s="280"/>
      <c r="N37" s="101"/>
      <c r="O37" s="101"/>
      <c r="P37" s="101"/>
      <c r="Q37" s="101"/>
      <c r="R37" s="118"/>
      <c r="S37" s="101"/>
      <c r="T37" s="101"/>
      <c r="U37" s="101"/>
      <c r="V37" s="101"/>
      <c r="W37" s="118"/>
    </row>
    <row r="38" spans="1:25" ht="22.5" x14ac:dyDescent="0.2">
      <c r="A38" s="9">
        <v>18</v>
      </c>
      <c r="B38" s="4" t="s">
        <v>22</v>
      </c>
      <c r="C38" s="7" t="s">
        <v>25</v>
      </c>
      <c r="D38" s="119">
        <v>18.774815999999998</v>
      </c>
      <c r="E38" s="105">
        <v>0</v>
      </c>
      <c r="F38" s="105">
        <v>0</v>
      </c>
      <c r="G38" s="105">
        <v>5.1681869429999994</v>
      </c>
      <c r="H38" s="106">
        <v>23.943002942999996</v>
      </c>
      <c r="I38" s="119">
        <v>2.1048</v>
      </c>
      <c r="J38" s="105">
        <v>0</v>
      </c>
      <c r="K38" s="105">
        <v>0</v>
      </c>
      <c r="L38" s="105">
        <v>0.94376489999999991</v>
      </c>
      <c r="M38" s="107">
        <v>3.0485648999999997</v>
      </c>
      <c r="N38" s="92">
        <v>15.954383999999997</v>
      </c>
      <c r="O38" s="105">
        <v>0</v>
      </c>
      <c r="P38" s="105">
        <v>0</v>
      </c>
      <c r="Q38" s="105">
        <v>2.5827287970000001</v>
      </c>
      <c r="R38" s="139">
        <v>18.537112796999999</v>
      </c>
      <c r="S38" s="225">
        <v>7.9771919999999987</v>
      </c>
      <c r="T38" s="105">
        <v>0</v>
      </c>
      <c r="U38" s="105">
        <v>0</v>
      </c>
      <c r="V38" s="105">
        <v>0.9092475000000001</v>
      </c>
      <c r="W38" s="107">
        <v>8.886439499999998</v>
      </c>
    </row>
    <row r="39" spans="1:25" x14ac:dyDescent="0.2">
      <c r="A39" s="9">
        <v>19</v>
      </c>
      <c r="B39" s="3" t="s">
        <v>17</v>
      </c>
      <c r="C39" s="7" t="s">
        <v>5</v>
      </c>
      <c r="D39" s="123">
        <v>644.60201599999994</v>
      </c>
      <c r="E39" s="124">
        <v>0</v>
      </c>
      <c r="F39" s="124">
        <v>0</v>
      </c>
      <c r="G39" s="125">
        <v>177.44108504299999</v>
      </c>
      <c r="H39" s="125">
        <v>822.04310104299998</v>
      </c>
      <c r="I39" s="123">
        <v>72.264799999999994</v>
      </c>
      <c r="J39" s="124">
        <v>0</v>
      </c>
      <c r="K39" s="124">
        <v>0</v>
      </c>
      <c r="L39" s="124">
        <v>32.402594899999997</v>
      </c>
      <c r="M39" s="126">
        <v>104.66739489999999</v>
      </c>
      <c r="N39" s="226">
        <v>547.76718399999993</v>
      </c>
      <c r="O39" s="124">
        <v>0</v>
      </c>
      <c r="P39" s="124">
        <v>0</v>
      </c>
      <c r="Q39" s="125">
        <v>161.91293869699999</v>
      </c>
      <c r="R39" s="113">
        <v>709.68012269699989</v>
      </c>
      <c r="S39" s="226">
        <v>539.78999199999987</v>
      </c>
      <c r="T39" s="124">
        <v>0</v>
      </c>
      <c r="U39" s="124">
        <v>0</v>
      </c>
      <c r="V39" s="125">
        <v>61.525747500000008</v>
      </c>
      <c r="W39" s="126">
        <v>601.31573949999995</v>
      </c>
    </row>
    <row r="40" spans="1:25" x14ac:dyDescent="0.2">
      <c r="A40" s="9">
        <v>20</v>
      </c>
      <c r="B40" s="3"/>
      <c r="C40" s="54" t="s">
        <v>82</v>
      </c>
      <c r="D40" s="127"/>
      <c r="E40" s="128"/>
      <c r="F40" s="128"/>
      <c r="G40" s="129"/>
      <c r="H40" s="129"/>
      <c r="I40" s="127"/>
      <c r="J40" s="128"/>
      <c r="K40" s="128"/>
      <c r="L40" s="128"/>
      <c r="M40" s="130"/>
      <c r="N40" s="227">
        <v>866.20778492905322</v>
      </c>
      <c r="O40" s="128">
        <v>0</v>
      </c>
      <c r="P40" s="128">
        <v>0</v>
      </c>
      <c r="Q40" s="128">
        <v>213.46276413391132</v>
      </c>
      <c r="R40" s="130">
        <v>1079.6705490629645</v>
      </c>
      <c r="S40" s="227">
        <v>853.59310844950392</v>
      </c>
      <c r="T40" s="128">
        <v>0</v>
      </c>
      <c r="U40" s="128">
        <v>0</v>
      </c>
      <c r="V40" s="128">
        <v>97.293308206063045</v>
      </c>
      <c r="W40" s="130">
        <v>950.88641665556702</v>
      </c>
    </row>
    <row r="41" spans="1:25" ht="13.5" thickBot="1" x14ac:dyDescent="0.25">
      <c r="A41" s="9">
        <v>21</v>
      </c>
      <c r="B41" s="3"/>
      <c r="C41" s="7" t="s">
        <v>129</v>
      </c>
      <c r="D41" s="131"/>
      <c r="E41" s="132"/>
      <c r="F41" s="132"/>
      <c r="G41" s="133"/>
      <c r="H41" s="270"/>
      <c r="I41" s="282"/>
      <c r="J41" s="141"/>
      <c r="K41" s="141"/>
      <c r="L41" s="141"/>
      <c r="M41" s="283"/>
      <c r="N41" s="271">
        <v>606.34544945033724</v>
      </c>
      <c r="O41" s="140">
        <v>0</v>
      </c>
      <c r="P41" s="140">
        <v>0</v>
      </c>
      <c r="Q41" s="140">
        <v>171.39570989373792</v>
      </c>
      <c r="R41" s="134">
        <v>777.74115934407519</v>
      </c>
      <c r="S41" s="228">
        <v>597.51517591465267</v>
      </c>
      <c r="T41" s="141">
        <v>0</v>
      </c>
      <c r="U41" s="141">
        <v>0</v>
      </c>
      <c r="V41" s="141">
        <v>68.105315744244123</v>
      </c>
      <c r="W41" s="142">
        <v>665.62049165889675</v>
      </c>
    </row>
    <row r="42" spans="1:25" x14ac:dyDescent="0.2">
      <c r="A42" s="9">
        <v>22</v>
      </c>
      <c r="B42" s="63" t="s">
        <v>17</v>
      </c>
      <c r="C42" s="60" t="s">
        <v>14</v>
      </c>
      <c r="D42" s="135">
        <v>644.60201599999994</v>
      </c>
      <c r="E42" s="90">
        <v>0</v>
      </c>
      <c r="F42" s="90">
        <v>0</v>
      </c>
      <c r="G42" s="136">
        <v>177.44108504299999</v>
      </c>
      <c r="H42" s="136">
        <v>822.04310104299998</v>
      </c>
      <c r="I42" s="281">
        <v>72.264799999999994</v>
      </c>
      <c r="J42" s="88">
        <v>0</v>
      </c>
      <c r="K42" s="88">
        <v>0</v>
      </c>
      <c r="L42" s="88">
        <v>32.402594899999997</v>
      </c>
      <c r="M42" s="89">
        <v>104.66739489999999</v>
      </c>
      <c r="N42" s="272">
        <v>606.34544945033724</v>
      </c>
      <c r="O42" s="90">
        <v>0</v>
      </c>
      <c r="P42" s="90">
        <v>0</v>
      </c>
      <c r="Q42" s="90">
        <v>171.39570989373792</v>
      </c>
      <c r="R42" s="91">
        <v>777.74115934407519</v>
      </c>
      <c r="S42" s="229">
        <v>597.51517591465267</v>
      </c>
      <c r="T42" s="88">
        <v>0</v>
      </c>
      <c r="U42" s="88">
        <v>0</v>
      </c>
      <c r="V42" s="88">
        <v>68.105315744244123</v>
      </c>
      <c r="W42" s="89">
        <v>665.62049165889675</v>
      </c>
      <c r="Y42" s="85"/>
    </row>
    <row r="43" spans="1:25" x14ac:dyDescent="0.2">
      <c r="A43" s="10">
        <v>23</v>
      </c>
      <c r="B43" s="5" t="s">
        <v>17</v>
      </c>
      <c r="C43" s="7" t="s">
        <v>15</v>
      </c>
      <c r="D43" s="121">
        <v>116.02836287999999</v>
      </c>
      <c r="E43" s="109">
        <v>0</v>
      </c>
      <c r="F43" s="109">
        <v>0</v>
      </c>
      <c r="G43" s="109">
        <v>31.939395307739996</v>
      </c>
      <c r="H43" s="110">
        <v>147.96775818773997</v>
      </c>
      <c r="I43" s="121">
        <v>13.007663999999998</v>
      </c>
      <c r="J43" s="109">
        <v>0</v>
      </c>
      <c r="K43" s="109">
        <v>0</v>
      </c>
      <c r="L43" s="109">
        <v>5.8324670819999991</v>
      </c>
      <c r="M43" s="111">
        <v>18.840131081999999</v>
      </c>
      <c r="N43" s="273">
        <v>109.1421809010607</v>
      </c>
      <c r="O43" s="109">
        <v>0</v>
      </c>
      <c r="P43" s="109">
        <v>0</v>
      </c>
      <c r="Q43" s="109">
        <v>30.851227780872822</v>
      </c>
      <c r="R43" s="111">
        <v>139.99340868193352</v>
      </c>
      <c r="S43" s="108">
        <v>107.55273166463748</v>
      </c>
      <c r="T43" s="109">
        <v>0</v>
      </c>
      <c r="U43" s="109">
        <v>0</v>
      </c>
      <c r="V43" s="109">
        <v>12.258956833963941</v>
      </c>
      <c r="W43" s="111">
        <v>119.81168849860141</v>
      </c>
      <c r="Y43" s="85"/>
    </row>
    <row r="44" spans="1:25" ht="13.5" thickBot="1" x14ac:dyDescent="0.25">
      <c r="A44" s="11">
        <v>24</v>
      </c>
      <c r="B44" s="64" t="s">
        <v>17</v>
      </c>
      <c r="C44" s="65" t="s">
        <v>16</v>
      </c>
      <c r="D44" s="120">
        <v>760.63037887999997</v>
      </c>
      <c r="E44" s="115">
        <v>0</v>
      </c>
      <c r="F44" s="115">
        <v>0</v>
      </c>
      <c r="G44" s="116">
        <v>209.38048035073999</v>
      </c>
      <c r="H44" s="116">
        <v>970.01085923073992</v>
      </c>
      <c r="I44" s="120">
        <v>85.272463999999985</v>
      </c>
      <c r="J44" s="115">
        <v>0</v>
      </c>
      <c r="K44" s="115">
        <v>0</v>
      </c>
      <c r="L44" s="115">
        <v>38.235061981999998</v>
      </c>
      <c r="M44" s="117">
        <v>123.50752598199998</v>
      </c>
      <c r="N44" s="114">
        <v>715.48763035139791</v>
      </c>
      <c r="O44" s="115">
        <v>0</v>
      </c>
      <c r="P44" s="115">
        <v>0</v>
      </c>
      <c r="Q44" s="116">
        <v>202.24693767461073</v>
      </c>
      <c r="R44" s="117">
        <v>917.73456802600867</v>
      </c>
      <c r="S44" s="114">
        <v>705.06790757929014</v>
      </c>
      <c r="T44" s="115">
        <v>0</v>
      </c>
      <c r="U44" s="115">
        <v>0</v>
      </c>
      <c r="V44" s="116">
        <v>80.364272578208059</v>
      </c>
      <c r="W44" s="117">
        <v>785.43218015749812</v>
      </c>
    </row>
    <row r="45" spans="1:25" ht="11.25" customHeight="1" x14ac:dyDescent="0.2">
      <c r="A45" s="2" t="s">
        <v>17</v>
      </c>
      <c r="B45" s="341" t="s">
        <v>17</v>
      </c>
      <c r="C45" s="342"/>
      <c r="D45" s="343" t="s">
        <v>17</v>
      </c>
      <c r="E45" s="344"/>
      <c r="F45" s="351" t="s">
        <v>17</v>
      </c>
      <c r="G45" s="352"/>
      <c r="H45" s="352"/>
      <c r="I45" s="16"/>
      <c r="J45" s="16"/>
      <c r="K45" s="16"/>
      <c r="L45" s="16"/>
      <c r="M45" s="274"/>
    </row>
    <row r="46" spans="1:25" ht="23.25" customHeight="1" x14ac:dyDescent="0.25">
      <c r="A46" s="2"/>
      <c r="B46" s="288" t="s">
        <v>117</v>
      </c>
      <c r="C46" s="289" t="s">
        <v>118</v>
      </c>
      <c r="D46" s="240"/>
      <c r="E46" s="240"/>
      <c r="F46" s="240"/>
      <c r="G46" s="289" t="s">
        <v>119</v>
      </c>
      <c r="H46" s="240"/>
      <c r="I46" s="240"/>
      <c r="K46" s="35"/>
      <c r="L46" s="334" t="s">
        <v>116</v>
      </c>
      <c r="M46" s="334"/>
      <c r="N46" s="334"/>
      <c r="O46" s="334"/>
      <c r="P46" s="334"/>
      <c r="Q46" s="222">
        <v>822.04310104299998</v>
      </c>
      <c r="R46" s="221" t="s">
        <v>29</v>
      </c>
      <c r="S46" s="219"/>
      <c r="T46" s="219"/>
      <c r="U46" s="220"/>
      <c r="V46" s="220"/>
      <c r="W46" s="220"/>
    </row>
    <row r="47" spans="1:25" ht="27" customHeight="1" x14ac:dyDescent="0.25">
      <c r="A47" s="2"/>
      <c r="B47" s="240"/>
      <c r="C47" s="240"/>
      <c r="D47" s="240"/>
      <c r="E47" s="240"/>
      <c r="F47" s="240"/>
      <c r="G47" s="240"/>
      <c r="H47" s="240"/>
      <c r="I47" s="240"/>
      <c r="J47" s="240"/>
      <c r="L47" s="334" t="s">
        <v>44</v>
      </c>
      <c r="M47" s="334"/>
      <c r="N47" s="334"/>
      <c r="O47" s="334"/>
      <c r="P47" s="334"/>
      <c r="Q47" s="222">
        <v>1079.6705490629645</v>
      </c>
      <c r="R47" s="221" t="s">
        <v>29</v>
      </c>
      <c r="S47" s="219"/>
      <c r="T47" s="219"/>
      <c r="U47" s="300"/>
      <c r="V47" s="300"/>
      <c r="W47" s="300"/>
    </row>
    <row r="48" spans="1:25" ht="33" customHeight="1" x14ac:dyDescent="0.25">
      <c r="B48" s="288" t="s">
        <v>120</v>
      </c>
      <c r="C48" s="289" t="s">
        <v>118</v>
      </c>
      <c r="D48" s="240"/>
      <c r="E48" s="240"/>
      <c r="F48" s="240"/>
      <c r="G48" s="289" t="s">
        <v>119</v>
      </c>
      <c r="H48" s="240"/>
      <c r="I48" s="240"/>
      <c r="J48" s="240"/>
      <c r="K48" s="1"/>
      <c r="L48" s="334" t="s">
        <v>86</v>
      </c>
      <c r="M48" s="334"/>
      <c r="N48" s="334"/>
      <c r="O48" s="334"/>
      <c r="P48" s="334"/>
      <c r="Q48" s="222">
        <v>777.74115934407519</v>
      </c>
      <c r="R48" s="221" t="s">
        <v>29</v>
      </c>
      <c r="S48" s="219"/>
      <c r="T48" s="219"/>
      <c r="U48" s="300"/>
      <c r="V48" s="300"/>
      <c r="W48" s="300"/>
    </row>
    <row r="49" spans="2:27" ht="37.5" customHeight="1" x14ac:dyDescent="0.25">
      <c r="B49" s="297">
        <v>43206</v>
      </c>
      <c r="H49" s="240"/>
      <c r="I49" s="240"/>
      <c r="L49" s="334" t="s">
        <v>87</v>
      </c>
      <c r="M49" s="334"/>
      <c r="N49" s="334"/>
      <c r="O49" s="334"/>
      <c r="P49" s="334"/>
      <c r="Q49" s="222">
        <v>665.62049165889675</v>
      </c>
      <c r="R49" s="221" t="s">
        <v>29</v>
      </c>
      <c r="S49" s="219"/>
      <c r="T49" s="219"/>
      <c r="U49" s="300"/>
      <c r="V49" s="300"/>
      <c r="W49" s="300"/>
    </row>
    <row r="50" spans="2:27" ht="12" customHeight="1" x14ac:dyDescent="0.25">
      <c r="B50" s="290" t="s">
        <v>121</v>
      </c>
      <c r="C50" s="240"/>
      <c r="D50" s="240"/>
      <c r="E50" s="240"/>
      <c r="F50" s="240"/>
      <c r="G50" s="87"/>
      <c r="J50" s="17"/>
      <c r="L50" s="1"/>
      <c r="M50" s="1"/>
      <c r="S50" s="219"/>
      <c r="T50" s="219"/>
      <c r="U50" s="300"/>
      <c r="V50" s="300"/>
      <c r="W50" s="300"/>
    </row>
    <row r="51" spans="2:27" ht="14.25" customHeight="1" x14ac:dyDescent="0.25">
      <c r="B51" s="240"/>
      <c r="C51" s="240"/>
      <c r="D51" s="240"/>
      <c r="E51" s="240"/>
      <c r="F51" s="240"/>
      <c r="G51" s="353"/>
      <c r="H51" s="353"/>
      <c r="I51" s="353"/>
      <c r="J51" s="353"/>
      <c r="K51" s="353"/>
      <c r="R51" s="55"/>
    </row>
    <row r="52" spans="2:27" ht="15.75" customHeight="1" x14ac:dyDescent="0.25">
      <c r="B52" s="346" t="s">
        <v>122</v>
      </c>
      <c r="C52" s="346"/>
      <c r="D52" s="346"/>
      <c r="E52" s="346"/>
      <c r="F52" s="346"/>
      <c r="Z52" s="1">
        <v>55.65</v>
      </c>
      <c r="AA52" s="1" t="s">
        <v>54</v>
      </c>
    </row>
    <row r="53" spans="2:27" ht="13.5" customHeight="1" x14ac:dyDescent="0.25">
      <c r="B53" s="345"/>
      <c r="C53" s="346"/>
      <c r="D53" s="346"/>
      <c r="E53" s="346"/>
      <c r="F53" s="346"/>
    </row>
    <row r="54" spans="2:27" ht="14.25" customHeight="1" x14ac:dyDescent="0.2"/>
    <row r="55" spans="2:27" ht="14.25" customHeight="1" x14ac:dyDescent="0.2"/>
    <row r="56" spans="2:27" ht="24" customHeight="1" x14ac:dyDescent="0.25">
      <c r="B56" s="308"/>
      <c r="C56" s="308"/>
      <c r="D56" s="308"/>
      <c r="E56" s="308"/>
      <c r="F56" s="308"/>
    </row>
    <row r="57" spans="2:27" ht="9.75" customHeight="1" x14ac:dyDescent="0.2"/>
    <row r="58" spans="2:27" ht="23.25" customHeight="1" x14ac:dyDescent="0.2"/>
    <row r="59" spans="2:27" ht="29.25" customHeight="1" x14ac:dyDescent="0.2"/>
    <row r="60" spans="2:27" ht="30" customHeight="1" x14ac:dyDescent="0.2"/>
    <row r="61" spans="2:27" ht="29.25" customHeight="1" x14ac:dyDescent="0.2"/>
    <row r="62" spans="2:27" ht="78" customHeight="1" x14ac:dyDescent="0.2"/>
  </sheetData>
  <mergeCells count="48">
    <mergeCell ref="B53:F53"/>
    <mergeCell ref="B56:F56"/>
    <mergeCell ref="A37:C37"/>
    <mergeCell ref="A32:C32"/>
    <mergeCell ref="A14:C14"/>
    <mergeCell ref="A17:C17"/>
    <mergeCell ref="B52:F52"/>
    <mergeCell ref="F45:H45"/>
    <mergeCell ref="A27:C27"/>
    <mergeCell ref="G51:K51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5:R5"/>
    <mergeCell ref="N6:R8"/>
    <mergeCell ref="N9:R9"/>
    <mergeCell ref="N11:R11"/>
    <mergeCell ref="A1:M1"/>
    <mergeCell ref="A2:M2"/>
    <mergeCell ref="A3:B3"/>
    <mergeCell ref="C3:H3"/>
    <mergeCell ref="I11:M11"/>
    <mergeCell ref="D11:H11"/>
    <mergeCell ref="A10:H10"/>
    <mergeCell ref="A11:A12"/>
    <mergeCell ref="B11:B12"/>
    <mergeCell ref="A4:B4"/>
    <mergeCell ref="C4:H4"/>
    <mergeCell ref="C11:C12"/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</mergeCells>
  <conditionalFormatting sqref="Z19:AC19 Y18:Z18 AE18 AE19:AH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N18:AO18 AO19:AR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J18 AJ19:AM19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I18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8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5"/>
      <c r="B1" s="146"/>
      <c r="C1" s="145"/>
      <c r="D1" s="145"/>
      <c r="E1" s="145"/>
      <c r="F1" s="145"/>
      <c r="G1" s="145"/>
      <c r="H1" s="144" t="s">
        <v>23</v>
      </c>
    </row>
    <row r="2" spans="1:8" ht="19.5" customHeight="1" x14ac:dyDescent="0.2">
      <c r="A2" s="145"/>
      <c r="B2" s="146"/>
      <c r="C2" s="145"/>
      <c r="D2" s="306" t="s">
        <v>93</v>
      </c>
      <c r="E2" s="306"/>
      <c r="F2" s="306"/>
      <c r="G2" s="306"/>
      <c r="H2" s="306"/>
    </row>
    <row r="3" spans="1:8" x14ac:dyDescent="0.2">
      <c r="A3" s="147"/>
      <c r="B3" s="148"/>
      <c r="C3" s="149"/>
      <c r="D3" s="306"/>
      <c r="E3" s="306"/>
      <c r="F3" s="306"/>
      <c r="G3" s="306"/>
      <c r="H3" s="306"/>
    </row>
    <row r="4" spans="1:8" ht="31.5" customHeight="1" x14ac:dyDescent="0.2">
      <c r="A4" s="147"/>
      <c r="B4" s="150"/>
      <c r="C4" s="151"/>
      <c r="D4" s="306"/>
      <c r="E4" s="306"/>
      <c r="F4" s="306"/>
      <c r="G4" s="306"/>
      <c r="H4" s="306"/>
    </row>
    <row r="5" spans="1:8" ht="15" x14ac:dyDescent="0.2">
      <c r="A5" s="147"/>
      <c r="B5" s="150"/>
      <c r="C5" s="151"/>
      <c r="D5" s="152"/>
      <c r="E5" s="152"/>
      <c r="F5" s="152"/>
      <c r="G5" s="152"/>
      <c r="H5" s="152"/>
    </row>
    <row r="6" spans="1:8" ht="49.5" customHeight="1" x14ac:dyDescent="0.2">
      <c r="A6" s="357" t="s">
        <v>81</v>
      </c>
      <c r="B6" s="357"/>
      <c r="C6" s="357"/>
      <c r="D6" s="357"/>
      <c r="E6" s="357"/>
      <c r="F6" s="357"/>
      <c r="G6" s="357"/>
      <c r="H6" s="357"/>
    </row>
    <row r="7" spans="1:8" ht="15" x14ac:dyDescent="0.2">
      <c r="A7" s="56"/>
      <c r="B7" s="150"/>
      <c r="C7" s="57"/>
      <c r="D7" s="57"/>
      <c r="E7" s="57"/>
      <c r="F7" s="57"/>
      <c r="G7" s="57"/>
      <c r="H7" s="57"/>
    </row>
    <row r="8" spans="1:8" ht="18.75" customHeight="1" thickBot="1" x14ac:dyDescent="0.25">
      <c r="A8" s="358" t="s">
        <v>88</v>
      </c>
      <c r="B8" s="358"/>
      <c r="C8" s="358"/>
      <c r="D8" s="358"/>
      <c r="E8" s="358"/>
      <c r="F8" s="358"/>
      <c r="G8" s="358"/>
      <c r="H8" s="358"/>
    </row>
    <row r="9" spans="1:8" ht="13.5" customHeight="1" thickBot="1" x14ac:dyDescent="0.25">
      <c r="A9" s="325" t="s">
        <v>18</v>
      </c>
      <c r="B9" s="359" t="s">
        <v>55</v>
      </c>
      <c r="C9" s="360" t="s">
        <v>56</v>
      </c>
      <c r="D9" s="362" t="s">
        <v>57</v>
      </c>
      <c r="E9" s="362"/>
      <c r="F9" s="362"/>
      <c r="G9" s="362"/>
      <c r="H9" s="363" t="s">
        <v>8</v>
      </c>
    </row>
    <row r="10" spans="1:8" ht="32.25" thickBot="1" x14ac:dyDescent="0.25">
      <c r="A10" s="326"/>
      <c r="B10" s="328"/>
      <c r="C10" s="361"/>
      <c r="D10" s="153" t="s">
        <v>0</v>
      </c>
      <c r="E10" s="154" t="s">
        <v>1</v>
      </c>
      <c r="F10" s="154" t="s">
        <v>2</v>
      </c>
      <c r="G10" s="155" t="s">
        <v>3</v>
      </c>
      <c r="H10" s="364"/>
    </row>
    <row r="11" spans="1:8" ht="15" customHeight="1" thickBot="1" x14ac:dyDescent="0.25">
      <c r="A11" s="23">
        <v>1</v>
      </c>
      <c r="B11" s="24">
        <v>2</v>
      </c>
      <c r="C11" s="36">
        <v>3</v>
      </c>
      <c r="D11" s="156">
        <v>4</v>
      </c>
      <c r="E11" s="157">
        <v>5</v>
      </c>
      <c r="F11" s="157">
        <v>6</v>
      </c>
      <c r="G11" s="158">
        <v>7</v>
      </c>
      <c r="H11" s="48">
        <v>8</v>
      </c>
    </row>
    <row r="12" spans="1:8" ht="18" customHeight="1" x14ac:dyDescent="0.2">
      <c r="A12" s="365" t="s">
        <v>58</v>
      </c>
      <c r="B12" s="355"/>
      <c r="C12" s="356"/>
      <c r="D12" s="159"/>
      <c r="E12" s="160"/>
      <c r="F12" s="160"/>
      <c r="G12" s="160"/>
      <c r="H12" s="161"/>
    </row>
    <row r="13" spans="1:8" ht="21.75" hidden="1" customHeight="1" x14ac:dyDescent="0.2">
      <c r="A13" s="162">
        <v>1</v>
      </c>
      <c r="B13" s="163" t="s">
        <v>31</v>
      </c>
      <c r="C13" s="164" t="s">
        <v>59</v>
      </c>
      <c r="D13" s="165"/>
      <c r="E13" s="166"/>
      <c r="F13" s="166"/>
      <c r="G13" s="166"/>
      <c r="H13" s="167">
        <f>SUM(D13:G13)</f>
        <v>0</v>
      </c>
    </row>
    <row r="14" spans="1:8" ht="15" customHeight="1" x14ac:dyDescent="0.2">
      <c r="A14" s="354" t="s">
        <v>60</v>
      </c>
      <c r="B14" s="355"/>
      <c r="C14" s="356"/>
      <c r="D14" s="168"/>
      <c r="E14" s="169"/>
      <c r="F14" s="169"/>
      <c r="G14" s="169"/>
      <c r="H14" s="170"/>
    </row>
    <row r="15" spans="1:8" ht="18" customHeight="1" x14ac:dyDescent="0.2">
      <c r="A15" s="162">
        <v>1</v>
      </c>
      <c r="B15" s="163" t="s">
        <v>31</v>
      </c>
      <c r="C15" s="164" t="s">
        <v>61</v>
      </c>
      <c r="D15" s="165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6"/>
      <c r="F15" s="166"/>
      <c r="G15" s="166"/>
      <c r="H15" s="167" t="e">
        <f t="shared" ref="H15:H27" si="0">SUM(D15:G15)</f>
        <v>#REF!</v>
      </c>
    </row>
    <row r="16" spans="1:8" ht="15" x14ac:dyDescent="0.2">
      <c r="A16" s="365" t="s">
        <v>62</v>
      </c>
      <c r="B16" s="355"/>
      <c r="C16" s="356"/>
      <c r="D16" s="171"/>
      <c r="E16" s="172"/>
      <c r="F16" s="172"/>
      <c r="G16" s="172"/>
      <c r="H16" s="167"/>
    </row>
    <row r="17" spans="1:8" ht="15" x14ac:dyDescent="0.2">
      <c r="A17" s="173"/>
      <c r="B17" s="174"/>
      <c r="C17" s="175"/>
      <c r="D17" s="171"/>
      <c r="E17" s="172"/>
      <c r="F17" s="172"/>
      <c r="G17" s="172"/>
      <c r="H17" s="167"/>
    </row>
    <row r="18" spans="1:8" ht="15" x14ac:dyDescent="0.2">
      <c r="A18" s="365" t="s">
        <v>63</v>
      </c>
      <c r="B18" s="355"/>
      <c r="C18" s="356"/>
      <c r="D18" s="171"/>
      <c r="E18" s="172"/>
      <c r="F18" s="172"/>
      <c r="G18" s="172"/>
      <c r="H18" s="167"/>
    </row>
    <row r="19" spans="1:8" x14ac:dyDescent="0.2">
      <c r="A19" s="176"/>
      <c r="B19" s="177"/>
      <c r="C19" s="178"/>
      <c r="D19" s="171"/>
      <c r="E19" s="172"/>
      <c r="F19" s="172"/>
      <c r="G19" s="172"/>
      <c r="H19" s="167"/>
    </row>
    <row r="20" spans="1:8" ht="15" x14ac:dyDescent="0.2">
      <c r="A20" s="365" t="s">
        <v>64</v>
      </c>
      <c r="B20" s="355"/>
      <c r="C20" s="356"/>
      <c r="D20" s="171"/>
      <c r="E20" s="172"/>
      <c r="F20" s="172"/>
      <c r="G20" s="172"/>
      <c r="H20" s="167"/>
    </row>
    <row r="21" spans="1:8" x14ac:dyDescent="0.2">
      <c r="A21" s="176"/>
      <c r="B21" s="177"/>
      <c r="C21" s="178"/>
      <c r="D21" s="171"/>
      <c r="E21" s="172"/>
      <c r="F21" s="172"/>
      <c r="G21" s="172"/>
      <c r="H21" s="167"/>
    </row>
    <row r="22" spans="1:8" ht="15" customHeight="1" x14ac:dyDescent="0.2">
      <c r="A22" s="354" t="s">
        <v>26</v>
      </c>
      <c r="B22" s="355"/>
      <c r="C22" s="356"/>
      <c r="D22" s="168"/>
      <c r="E22" s="169"/>
      <c r="F22" s="169"/>
      <c r="G22" s="169"/>
      <c r="H22" s="170"/>
    </row>
    <row r="23" spans="1:8" ht="28.5" hidden="1" customHeight="1" x14ac:dyDescent="0.2">
      <c r="A23" s="162">
        <v>3</v>
      </c>
      <c r="B23" s="163" t="s">
        <v>65</v>
      </c>
      <c r="C23" s="179" t="s">
        <v>66</v>
      </c>
      <c r="D23" s="165"/>
      <c r="E23" s="166"/>
      <c r="F23" s="166"/>
      <c r="G23" s="166"/>
      <c r="H23" s="167">
        <f t="shared" si="0"/>
        <v>0</v>
      </c>
    </row>
    <row r="24" spans="1:8" ht="28.5" customHeight="1" x14ac:dyDescent="0.2">
      <c r="A24" s="162">
        <v>2</v>
      </c>
      <c r="B24" s="163" t="s">
        <v>31</v>
      </c>
      <c r="C24" s="179" t="s">
        <v>67</v>
      </c>
      <c r="D24" s="165">
        <v>0</v>
      </c>
      <c r="E24" s="166"/>
      <c r="F24" s="166"/>
      <c r="G24" s="166"/>
      <c r="H24" s="167">
        <f>D24+E24</f>
        <v>0</v>
      </c>
    </row>
    <row r="25" spans="1:8" ht="15.75" customHeight="1" x14ac:dyDescent="0.2">
      <c r="A25" s="354" t="s">
        <v>9</v>
      </c>
      <c r="B25" s="355"/>
      <c r="C25" s="356"/>
      <c r="D25" s="168"/>
      <c r="E25" s="169"/>
      <c r="F25" s="169"/>
      <c r="G25" s="169"/>
      <c r="H25" s="170"/>
    </row>
    <row r="26" spans="1:8" ht="30" hidden="1" x14ac:dyDescent="0.2">
      <c r="A26" s="176">
        <v>4</v>
      </c>
      <c r="B26" s="163" t="s">
        <v>68</v>
      </c>
      <c r="C26" s="164" t="s">
        <v>69</v>
      </c>
      <c r="D26" s="171"/>
      <c r="E26" s="172"/>
      <c r="F26" s="172"/>
      <c r="G26" s="172"/>
      <c r="H26" s="167">
        <f t="shared" si="0"/>
        <v>0</v>
      </c>
    </row>
    <row r="27" spans="1:8" ht="28.5" customHeight="1" x14ac:dyDescent="0.2">
      <c r="A27" s="176">
        <v>3</v>
      </c>
      <c r="B27" s="163" t="s">
        <v>31</v>
      </c>
      <c r="C27" s="179" t="s">
        <v>46</v>
      </c>
      <c r="D27" s="171">
        <v>0</v>
      </c>
      <c r="E27" s="172"/>
      <c r="F27" s="172"/>
      <c r="G27" s="172"/>
      <c r="H27" s="167">
        <f t="shared" si="0"/>
        <v>0</v>
      </c>
    </row>
    <row r="28" spans="1:8" ht="28.5" customHeight="1" x14ac:dyDescent="0.2">
      <c r="A28" s="176">
        <v>4</v>
      </c>
      <c r="B28" s="163" t="s">
        <v>31</v>
      </c>
      <c r="C28" s="180" t="s">
        <v>48</v>
      </c>
      <c r="D28" s="171"/>
      <c r="E28" s="172"/>
      <c r="F28" s="172"/>
      <c r="G28" s="172">
        <f>'Сводка затрат'!L23</f>
        <v>8.0500000000000007</v>
      </c>
      <c r="H28" s="167">
        <f>G28</f>
        <v>8.0500000000000007</v>
      </c>
    </row>
    <row r="29" spans="1:8" ht="14.25" customHeight="1" x14ac:dyDescent="0.2">
      <c r="A29" s="181"/>
      <c r="B29" s="177" t="s">
        <v>17</v>
      </c>
      <c r="C29" s="182" t="s">
        <v>4</v>
      </c>
      <c r="D29" s="171" t="e">
        <f>SUM(D13:D27)</f>
        <v>#REF!</v>
      </c>
      <c r="E29" s="172">
        <f>SUM(E13:E27)</f>
        <v>0</v>
      </c>
      <c r="F29" s="172">
        <f>SUM(F13:F27)</f>
        <v>0</v>
      </c>
      <c r="G29" s="172">
        <f>SUM(G13:G28)</f>
        <v>8.0500000000000007</v>
      </c>
      <c r="H29" s="183" t="e">
        <f>SUM(D29:G29)</f>
        <v>#REF!</v>
      </c>
    </row>
    <row r="30" spans="1:8" ht="30.75" customHeight="1" x14ac:dyDescent="0.2">
      <c r="A30" s="176">
        <v>5</v>
      </c>
      <c r="B30" s="184" t="s">
        <v>70</v>
      </c>
      <c r="C30" s="179" t="s">
        <v>71</v>
      </c>
      <c r="D30" s="171" t="e">
        <f>D29*1.5%</f>
        <v>#REF!</v>
      </c>
      <c r="E30" s="172">
        <f t="shared" ref="E30:F30" si="1">E29*1.5%</f>
        <v>0</v>
      </c>
      <c r="F30" s="172">
        <f t="shared" si="1"/>
        <v>0</v>
      </c>
      <c r="G30" s="172">
        <f>G29*1.5%</f>
        <v>0.12075000000000001</v>
      </c>
      <c r="H30" s="183" t="e">
        <f>D30+E30+F30+G30</f>
        <v>#REF!</v>
      </c>
    </row>
    <row r="31" spans="1:8" ht="15" x14ac:dyDescent="0.2">
      <c r="A31" s="176"/>
      <c r="B31" s="177" t="s">
        <v>17</v>
      </c>
      <c r="C31" s="164" t="s">
        <v>72</v>
      </c>
      <c r="D31" s="185" t="e">
        <f>D29+D30</f>
        <v>#REF!</v>
      </c>
      <c r="E31" s="186">
        <f t="shared" ref="E31:F31" si="2">E29+E30</f>
        <v>0</v>
      </c>
      <c r="F31" s="186">
        <f t="shared" si="2"/>
        <v>0</v>
      </c>
      <c r="G31" s="186">
        <f>G29+G30</f>
        <v>8.17075</v>
      </c>
      <c r="H31" s="187" t="e">
        <f>SUM(D31:G31)</f>
        <v>#REF!</v>
      </c>
    </row>
    <row r="32" spans="1:8" ht="15" x14ac:dyDescent="0.25">
      <c r="A32" s="9"/>
      <c r="B32" s="188"/>
      <c r="C32" s="189" t="s">
        <v>73</v>
      </c>
      <c r="D32" s="190"/>
      <c r="E32" s="191"/>
      <c r="F32" s="191"/>
      <c r="G32" s="191"/>
      <c r="H32" s="192"/>
    </row>
    <row r="33" spans="1:10" ht="15" x14ac:dyDescent="0.2">
      <c r="A33" s="9"/>
      <c r="B33" s="188"/>
      <c r="C33" s="193" t="s">
        <v>74</v>
      </c>
      <c r="D33" s="185">
        <f>7.58</f>
        <v>7.58</v>
      </c>
      <c r="E33" s="186">
        <f>7.58</f>
        <v>7.58</v>
      </c>
      <c r="F33" s="186">
        <v>3.82</v>
      </c>
      <c r="G33" s="186">
        <v>7.53</v>
      </c>
      <c r="H33" s="192"/>
    </row>
    <row r="34" spans="1:10" ht="15" x14ac:dyDescent="0.25">
      <c r="A34" s="9"/>
      <c r="B34" s="188"/>
      <c r="C34" s="189" t="s">
        <v>75</v>
      </c>
      <c r="D34" s="185" t="e">
        <f>D31*D33</f>
        <v>#REF!</v>
      </c>
      <c r="E34" s="186">
        <f>E31*E33</f>
        <v>0</v>
      </c>
      <c r="F34" s="186">
        <f>F31*F33</f>
        <v>0</v>
      </c>
      <c r="G34" s="186">
        <f>G31*G33</f>
        <v>61.525747500000001</v>
      </c>
      <c r="H34" s="192" t="e">
        <f>SUM(D34:G34)</f>
        <v>#REF!</v>
      </c>
    </row>
    <row r="35" spans="1:10" ht="30" x14ac:dyDescent="0.25">
      <c r="A35" s="9"/>
      <c r="B35" s="194" t="s">
        <v>17</v>
      </c>
      <c r="C35" s="195" t="s">
        <v>89</v>
      </c>
      <c r="D35" s="196">
        <f>1.06*1.049*1.143*1.081*1.054*1.044*1.046</f>
        <v>1.5813429687475649</v>
      </c>
      <c r="E35" s="197">
        <f>D35</f>
        <v>1.5813429687475649</v>
      </c>
      <c r="F35" s="197">
        <f>E35</f>
        <v>1.5813429687475649</v>
      </c>
      <c r="G35" s="197">
        <f>F35</f>
        <v>1.5813429687475649</v>
      </c>
      <c r="H35" s="198"/>
    </row>
    <row r="36" spans="1:10" ht="15" x14ac:dyDescent="0.25">
      <c r="A36" s="9"/>
      <c r="B36" s="194"/>
      <c r="C36" s="189" t="s">
        <v>90</v>
      </c>
      <c r="D36" s="199" t="e">
        <f>D34*D35</f>
        <v>#REF!</v>
      </c>
      <c r="E36" s="200">
        <f t="shared" ref="E36:F36" si="3">E34*E35</f>
        <v>0</v>
      </c>
      <c r="F36" s="200">
        <f t="shared" si="3"/>
        <v>0</v>
      </c>
      <c r="G36" s="200">
        <f>G34*G35</f>
        <v>97.293308206063074</v>
      </c>
      <c r="H36" s="198" t="e">
        <f>SUM(D36:G36)</f>
        <v>#REF!</v>
      </c>
    </row>
    <row r="37" spans="1:10" ht="30" x14ac:dyDescent="0.25">
      <c r="A37" s="9"/>
      <c r="B37" s="194"/>
      <c r="C37" s="195" t="s">
        <v>91</v>
      </c>
      <c r="D37" s="201">
        <v>0.7</v>
      </c>
      <c r="E37" s="202">
        <f>D37</f>
        <v>0.7</v>
      </c>
      <c r="F37" s="202">
        <f>E37</f>
        <v>0.7</v>
      </c>
      <c r="G37" s="202">
        <f>F37</f>
        <v>0.7</v>
      </c>
      <c r="H37" s="198"/>
    </row>
    <row r="38" spans="1:10" ht="15" x14ac:dyDescent="0.25">
      <c r="A38" s="9"/>
      <c r="B38" s="194"/>
      <c r="C38" s="189" t="s">
        <v>92</v>
      </c>
      <c r="D38" s="199" t="e">
        <f>D36*D37</f>
        <v>#REF!</v>
      </c>
      <c r="E38" s="200">
        <f>E36*E37</f>
        <v>0</v>
      </c>
      <c r="F38" s="200">
        <f>F36*F37</f>
        <v>0</v>
      </c>
      <c r="G38" s="200">
        <f>G36*G37</f>
        <v>68.105315744244152</v>
      </c>
      <c r="H38" s="239" t="e">
        <f>SUM(D38:G38)</f>
        <v>#REF!</v>
      </c>
      <c r="J38" s="1" t="e">
        <f>H38/55.65</f>
        <v>#REF!</v>
      </c>
    </row>
    <row r="39" spans="1:10" ht="15" x14ac:dyDescent="0.25">
      <c r="A39" s="9"/>
      <c r="B39" s="194"/>
      <c r="C39" s="189" t="s">
        <v>15</v>
      </c>
      <c r="D39" s="171" t="e">
        <f>D38*18%</f>
        <v>#REF!</v>
      </c>
      <c r="E39" s="172">
        <f t="shared" ref="E39:G39" si="4">E38*18%</f>
        <v>0</v>
      </c>
      <c r="F39" s="172">
        <f t="shared" si="4"/>
        <v>0</v>
      </c>
      <c r="G39" s="172">
        <f t="shared" si="4"/>
        <v>12.258956833963946</v>
      </c>
      <c r="H39" s="183" t="e">
        <f>SUM(D39:G39)</f>
        <v>#REF!</v>
      </c>
    </row>
    <row r="40" spans="1:10" ht="30.75" thickBot="1" x14ac:dyDescent="0.3">
      <c r="A40" s="11"/>
      <c r="B40" s="203"/>
      <c r="C40" s="204" t="s">
        <v>76</v>
      </c>
      <c r="D40" s="205" t="e">
        <f>D38+D39</f>
        <v>#REF!</v>
      </c>
      <c r="E40" s="206">
        <f t="shared" ref="E40:G40" si="5">E38+E39</f>
        <v>0</v>
      </c>
      <c r="F40" s="206">
        <f t="shared" si="5"/>
        <v>0</v>
      </c>
      <c r="G40" s="206">
        <f t="shared" si="5"/>
        <v>80.364272578208102</v>
      </c>
      <c r="H40" s="207" t="e">
        <f>SUM(D40:G40)</f>
        <v>#REF!</v>
      </c>
    </row>
    <row r="41" spans="1:10" x14ac:dyDescent="0.2">
      <c r="A41" s="2" t="s">
        <v>17</v>
      </c>
      <c r="B41" s="208" t="s">
        <v>17</v>
      </c>
      <c r="C41" s="209" t="s">
        <v>77</v>
      </c>
      <c r="D41" s="343" t="s">
        <v>17</v>
      </c>
      <c r="E41" s="344"/>
      <c r="F41" s="351" t="s">
        <v>17</v>
      </c>
      <c r="G41" s="352"/>
      <c r="H41" s="352"/>
    </row>
    <row r="42" spans="1:10" ht="15" customHeight="1" x14ac:dyDescent="0.2">
      <c r="A42" s="2"/>
      <c r="B42" s="210" t="s">
        <v>28</v>
      </c>
      <c r="C42" s="87"/>
      <c r="D42" s="87"/>
      <c r="E42" s="211"/>
      <c r="F42" s="211"/>
      <c r="G42" s="211"/>
      <c r="H42" s="211"/>
    </row>
    <row r="43" spans="1:10" ht="30" customHeight="1" x14ac:dyDescent="0.2">
      <c r="A43" s="2"/>
      <c r="B43" s="87" t="s">
        <v>78</v>
      </c>
      <c r="C43" s="87"/>
      <c r="D43" s="87"/>
    </row>
    <row r="44" spans="1:10" ht="15.75" customHeight="1" x14ac:dyDescent="0.2">
      <c r="A44" s="2"/>
      <c r="B44" s="212"/>
      <c r="C44" s="86"/>
      <c r="D44" s="86"/>
    </row>
    <row r="45" spans="1:10" ht="15" x14ac:dyDescent="0.2">
      <c r="B45" s="213"/>
      <c r="C45" s="211"/>
      <c r="D45" s="211"/>
      <c r="E45" s="211"/>
      <c r="F45" s="211"/>
      <c r="G45" s="211"/>
      <c r="H45" s="211"/>
    </row>
    <row r="46" spans="1:10" ht="15" customHeight="1" x14ac:dyDescent="0.2">
      <c r="B46" s="366" t="s">
        <v>79</v>
      </c>
      <c r="C46" s="366"/>
      <c r="D46" s="366"/>
      <c r="E46" s="366"/>
      <c r="F46" s="366"/>
      <c r="G46" s="366"/>
      <c r="H46" s="366"/>
      <c r="I46" s="366"/>
    </row>
    <row r="47" spans="1:10" ht="15" x14ac:dyDescent="0.2">
      <c r="B47" s="214"/>
      <c r="C47" s="215"/>
      <c r="D47" s="215"/>
      <c r="E47" s="215"/>
      <c r="F47" s="215"/>
      <c r="G47" s="215"/>
      <c r="H47" s="215"/>
      <c r="I47" s="215"/>
    </row>
    <row r="48" spans="1:10" ht="15" customHeight="1" x14ac:dyDescent="0.2">
      <c r="B48" s="366" t="s">
        <v>80</v>
      </c>
      <c r="C48" s="366"/>
      <c r="D48" s="366"/>
      <c r="E48" s="366"/>
      <c r="F48" s="366"/>
      <c r="G48" s="366"/>
      <c r="H48" s="366"/>
      <c r="I48" s="366"/>
    </row>
    <row r="49" spans="2:8" ht="15.75" x14ac:dyDescent="0.25">
      <c r="B49" s="216"/>
      <c r="C49" s="217"/>
      <c r="D49" s="217"/>
      <c r="E49" s="217"/>
      <c r="F49" s="87"/>
      <c r="H49" s="87"/>
    </row>
  </sheetData>
  <mergeCells count="19">
    <mergeCell ref="A25:C25"/>
    <mergeCell ref="D41:E41"/>
    <mergeCell ref="F41:H41"/>
    <mergeCell ref="B46:I46"/>
    <mergeCell ref="B48:I48"/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98</v>
      </c>
      <c r="H1" t="s">
        <v>99</v>
      </c>
      <c r="I1" s="240" t="s">
        <v>100</v>
      </c>
    </row>
    <row r="2" spans="1:10" x14ac:dyDescent="0.25">
      <c r="A2" s="241" t="s">
        <v>101</v>
      </c>
      <c r="B2" s="241">
        <v>21.22</v>
      </c>
      <c r="C2" s="241">
        <v>31.32</v>
      </c>
      <c r="D2" s="241">
        <v>33.340000000000003</v>
      </c>
      <c r="E2" s="241">
        <v>35.36</v>
      </c>
      <c r="F2" s="241">
        <v>37.380000000000003</v>
      </c>
      <c r="G2" s="241">
        <v>43.44</v>
      </c>
      <c r="I2" s="240"/>
    </row>
    <row r="3" spans="1:10" x14ac:dyDescent="0.25">
      <c r="A3" t="s">
        <v>99</v>
      </c>
      <c r="B3" s="242">
        <v>104.667</v>
      </c>
      <c r="C3" s="242">
        <v>83.486999999999995</v>
      </c>
      <c r="D3" s="242">
        <v>176.535</v>
      </c>
      <c r="E3" s="242">
        <v>420.89600000000002</v>
      </c>
      <c r="F3" s="242">
        <v>324.68799999999999</v>
      </c>
      <c r="G3" s="242">
        <v>61.886000000000003</v>
      </c>
      <c r="H3" s="243">
        <f>SUM(B3:G3)</f>
        <v>1172.1590000000001</v>
      </c>
      <c r="I3" s="244">
        <v>1172.159516211791</v>
      </c>
      <c r="J3" s="245">
        <f>H3-I3</f>
        <v>-5.162117909094377E-4</v>
      </c>
    </row>
    <row r="4" spans="1:10" x14ac:dyDescent="0.25">
      <c r="A4" t="s">
        <v>42</v>
      </c>
      <c r="B4" s="246">
        <f>70.16*1.03</f>
        <v>72.264799999999994</v>
      </c>
      <c r="C4" s="246">
        <f>62.65*1.03</f>
        <v>64.529499999999999</v>
      </c>
      <c r="D4" s="246">
        <f>140.49*1.03</f>
        <v>144.7047</v>
      </c>
      <c r="E4" s="246">
        <f>306.06*1.03</f>
        <v>315.24180000000001</v>
      </c>
      <c r="F4" s="246">
        <f>249.04*1.03</f>
        <v>256.51119999999997</v>
      </c>
      <c r="G4" s="246">
        <f>31.99*1.03</f>
        <v>32.9497</v>
      </c>
      <c r="H4" s="247">
        <f t="shared" ref="H4:H7" si="0">SUM(B4:G4)</f>
        <v>886.20169999999996</v>
      </c>
      <c r="I4" s="248">
        <v>886.20169999999996</v>
      </c>
    </row>
    <row r="5" spans="1:10" x14ac:dyDescent="0.25">
      <c r="A5" t="s">
        <v>102</v>
      </c>
      <c r="B5" s="246">
        <f>B6+B7</f>
        <v>20.045849034749033</v>
      </c>
      <c r="C5" s="246">
        <f t="shared" ref="C5:G5" si="1">C6+C7</f>
        <v>14.125849554499554</v>
      </c>
      <c r="D5" s="246">
        <f t="shared" si="1"/>
        <v>19.303395589545588</v>
      </c>
      <c r="E5" s="246">
        <f t="shared" si="1"/>
        <v>74.271869705969706</v>
      </c>
      <c r="F5" s="246">
        <f t="shared" si="1"/>
        <v>42.997615844965843</v>
      </c>
      <c r="G5" s="246">
        <f t="shared" si="1"/>
        <v>24.642258048708047</v>
      </c>
      <c r="H5" s="249">
        <f t="shared" si="0"/>
        <v>195.38683777843778</v>
      </c>
      <c r="I5" s="250">
        <v>195.38683777843778</v>
      </c>
    </row>
    <row r="6" spans="1:10" x14ac:dyDescent="0.25">
      <c r="A6" t="s">
        <v>103</v>
      </c>
      <c r="B6" s="251">
        <f>B19/3.64</f>
        <v>15.506357142857143</v>
      </c>
      <c r="C6" s="251">
        <f t="shared" ref="C6:G6" si="2">C19/3.64</f>
        <v>12.025222527472527</v>
      </c>
      <c r="D6" s="251">
        <f t="shared" si="2"/>
        <v>15.90322802197802</v>
      </c>
      <c r="E6" s="251">
        <f t="shared" si="2"/>
        <v>38.83713186813187</v>
      </c>
      <c r="F6" s="251">
        <f t="shared" si="2"/>
        <v>31.880310439560439</v>
      </c>
      <c r="G6" s="251">
        <f t="shared" si="2"/>
        <v>21.03607967032967</v>
      </c>
      <c r="H6" s="252">
        <f t="shared" si="0"/>
        <v>135.18832967032967</v>
      </c>
      <c r="I6" s="253">
        <v>135.18832967032967</v>
      </c>
    </row>
    <row r="7" spans="1:10" x14ac:dyDescent="0.25">
      <c r="A7" t="s">
        <v>104</v>
      </c>
      <c r="B7" s="251">
        <f>B20/3.7</f>
        <v>4.539491891891891</v>
      </c>
      <c r="C7" s="251">
        <f t="shared" ref="C7:G7" si="3">C20/3.7</f>
        <v>2.1006270270270266</v>
      </c>
      <c r="D7" s="251">
        <f t="shared" si="3"/>
        <v>3.4001675675675673</v>
      </c>
      <c r="E7" s="251">
        <f t="shared" si="3"/>
        <v>35.434737837837837</v>
      </c>
      <c r="F7" s="251">
        <f t="shared" si="3"/>
        <v>11.117305405405405</v>
      </c>
      <c r="G7" s="251">
        <f t="shared" si="3"/>
        <v>3.6061783783783783</v>
      </c>
      <c r="H7" s="252">
        <f t="shared" si="0"/>
        <v>60.198508108108108</v>
      </c>
      <c r="I7" s="254">
        <v>60.198508108108101</v>
      </c>
    </row>
    <row r="8" spans="1:10" x14ac:dyDescent="0.25">
      <c r="A8" t="s">
        <v>105</v>
      </c>
      <c r="B8" s="246">
        <f>B3-B4-B5</f>
        <v>12.356350965250975</v>
      </c>
      <c r="C8" s="246">
        <f t="shared" ref="C8:F8" si="4">C3-C4-C5</f>
        <v>4.8316504455004416</v>
      </c>
      <c r="D8" s="246">
        <f t="shared" si="4"/>
        <v>12.526904410454407</v>
      </c>
      <c r="E8" s="246">
        <f t="shared" si="4"/>
        <v>31.382330294030297</v>
      </c>
      <c r="F8" s="246">
        <f t="shared" si="4"/>
        <v>25.179184155034172</v>
      </c>
      <c r="G8" s="246">
        <f>G3-G4-G5</f>
        <v>4.2940419512919554</v>
      </c>
      <c r="H8" s="243">
        <f>SUM(B8:G8)</f>
        <v>90.570462221562252</v>
      </c>
      <c r="I8" s="240">
        <v>90.570999999999998</v>
      </c>
    </row>
    <row r="9" spans="1:10" x14ac:dyDescent="0.25">
      <c r="A9" t="s">
        <v>106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5">
        <f t="shared" ref="H9:H11" si="5">SUM(B9:G9)</f>
        <v>43.38</v>
      </c>
      <c r="I9" s="256">
        <v>43.38</v>
      </c>
    </row>
    <row r="10" spans="1:10" x14ac:dyDescent="0.25">
      <c r="A10">
        <v>2.16</v>
      </c>
      <c r="B10" s="251">
        <f>(B4/1.03+B9)*2.16%</f>
        <v>1.6893359999999999</v>
      </c>
      <c r="C10" s="251">
        <f t="shared" ref="C10:G10" si="6">(C4/1.03+C9)*2.16%</f>
        <v>1.3860720000000002</v>
      </c>
      <c r="D10" s="251">
        <f t="shared" si="6"/>
        <v>3.1497120000000005</v>
      </c>
      <c r="E10" s="251">
        <f t="shared" si="6"/>
        <v>6.9245280000000005</v>
      </c>
      <c r="F10" s="251">
        <f t="shared" si="6"/>
        <v>5.6378159999999999</v>
      </c>
      <c r="G10" s="251">
        <f t="shared" si="6"/>
        <v>0.73396799999999995</v>
      </c>
      <c r="H10" s="257">
        <f t="shared" si="5"/>
        <v>19.521432000000001</v>
      </c>
      <c r="I10" s="256">
        <v>19.521432000000001</v>
      </c>
    </row>
    <row r="11" spans="1:10" x14ac:dyDescent="0.25">
      <c r="A11">
        <v>2.14</v>
      </c>
      <c r="B11" s="251">
        <f>(B4/1.03+B9)*2.14%</f>
        <v>1.673694</v>
      </c>
      <c r="C11" s="251">
        <f t="shared" ref="C11:G11" si="7">(C4/1.03+C9)*2.14%</f>
        <v>1.3732380000000002</v>
      </c>
      <c r="D11" s="251">
        <f t="shared" si="7"/>
        <v>3.1205480000000008</v>
      </c>
      <c r="E11" s="251">
        <f t="shared" si="7"/>
        <v>6.8604120000000002</v>
      </c>
      <c r="F11" s="251">
        <f t="shared" si="7"/>
        <v>5.5856140000000005</v>
      </c>
      <c r="G11" s="251">
        <f t="shared" si="7"/>
        <v>0.72717200000000004</v>
      </c>
      <c r="H11" s="258">
        <f t="shared" si="5"/>
        <v>19.340678</v>
      </c>
      <c r="I11" s="259">
        <v>19.340678</v>
      </c>
    </row>
    <row r="12" spans="1:10" x14ac:dyDescent="0.25">
      <c r="H12" s="241"/>
      <c r="I12" s="240"/>
    </row>
    <row r="13" spans="1:10" x14ac:dyDescent="0.25">
      <c r="B13" s="251">
        <f>B4+B5*1.03+B9*1.03+B10*1.03+B11*1.03</f>
        <v>104.6674454057915</v>
      </c>
      <c r="C13" s="251">
        <f t="shared" ref="C13:G13" si="8">C4+C5*1.03+C9*1.03+C10*1.03+C11*1.03</f>
        <v>83.486814341134547</v>
      </c>
      <c r="D13" s="251">
        <f t="shared" si="8"/>
        <v>176.53546525723195</v>
      </c>
      <c r="E13" s="251">
        <f t="shared" si="8"/>
        <v>420.8959139971488</v>
      </c>
      <c r="F13" s="251">
        <f t="shared" si="8"/>
        <v>324.68797722031474</v>
      </c>
      <c r="G13" s="251">
        <f t="shared" si="8"/>
        <v>61.885899990169285</v>
      </c>
      <c r="H13" s="260">
        <f>SUM(B13:G13)</f>
        <v>1172.1595162117908</v>
      </c>
      <c r="I13" s="240"/>
    </row>
    <row r="14" spans="1:10" x14ac:dyDescent="0.25">
      <c r="I14" s="240"/>
    </row>
    <row r="15" spans="1:10" x14ac:dyDescent="0.25">
      <c r="B15" t="s">
        <v>107</v>
      </c>
      <c r="I15" s="240"/>
    </row>
    <row r="16" spans="1:10" x14ac:dyDescent="0.25">
      <c r="A16" t="s">
        <v>99</v>
      </c>
      <c r="B16" s="242">
        <v>822.04300000000001</v>
      </c>
      <c r="C16" s="242">
        <v>667.471</v>
      </c>
      <c r="D16" s="242">
        <v>1468.037</v>
      </c>
      <c r="E16" s="242">
        <v>3347.5140000000001</v>
      </c>
      <c r="F16" s="242">
        <v>2658.8220000000001</v>
      </c>
      <c r="G16" s="242">
        <v>417.52499999999998</v>
      </c>
      <c r="H16" s="243">
        <f t="shared" ref="H16:H25" si="9">SUM(B16:G16)</f>
        <v>9381.4120000000003</v>
      </c>
      <c r="I16" s="244">
        <f>'Сводка затрат'!H42</f>
        <v>822.04310104299998</v>
      </c>
      <c r="J16">
        <f>H16-I16</f>
        <v>8559.3688989570001</v>
      </c>
    </row>
    <row r="17" spans="1:10" x14ac:dyDescent="0.25">
      <c r="A17" t="s">
        <v>42</v>
      </c>
      <c r="B17" s="246">
        <f t="shared" ref="B17:G17" si="10">B4*8.92</f>
        <v>644.60201599999994</v>
      </c>
      <c r="C17" s="246">
        <f t="shared" si="10"/>
        <v>575.60313999999994</v>
      </c>
      <c r="D17" s="246">
        <f t="shared" si="10"/>
        <v>1290.765924</v>
      </c>
      <c r="E17" s="246">
        <f t="shared" si="10"/>
        <v>2811.9568560000002</v>
      </c>
      <c r="F17" s="246">
        <f t="shared" si="10"/>
        <v>2288.0799039999997</v>
      </c>
      <c r="G17" s="246">
        <f t="shared" si="10"/>
        <v>293.91132399999998</v>
      </c>
      <c r="H17" s="257">
        <f t="shared" si="9"/>
        <v>7904.9191639999999</v>
      </c>
      <c r="I17" s="254">
        <f>'Сводка затрат'!D42</f>
        <v>644.60201599999994</v>
      </c>
    </row>
    <row r="18" spans="1:10" x14ac:dyDescent="0.25">
      <c r="A18" t="s">
        <v>102</v>
      </c>
      <c r="B18" s="246">
        <f>B19+B20</f>
        <v>73.239260000000002</v>
      </c>
      <c r="C18" s="246">
        <f>C19+C20</f>
        <v>51.544130000000003</v>
      </c>
      <c r="D18" s="246">
        <f t="shared" ref="D18:G18" si="11">D19+D20</f>
        <v>70.468369999999993</v>
      </c>
      <c r="E18" s="246">
        <f t="shared" si="11"/>
        <v>272.47568999999999</v>
      </c>
      <c r="F18" s="246">
        <f t="shared" si="11"/>
        <v>157.17836</v>
      </c>
      <c r="G18" s="246">
        <f t="shared" si="11"/>
        <v>89.914190000000005</v>
      </c>
      <c r="H18" s="258">
        <f>SUM(B18:G18)</f>
        <v>714.81999999999994</v>
      </c>
      <c r="I18" s="261">
        <v>714.81999999999994</v>
      </c>
    </row>
    <row r="19" spans="1:10" x14ac:dyDescent="0.25">
      <c r="A19" t="s">
        <v>103</v>
      </c>
      <c r="B19" s="251">
        <v>56.44314</v>
      </c>
      <c r="C19" s="251">
        <v>43.771810000000002</v>
      </c>
      <c r="D19" s="251">
        <v>57.887749999999997</v>
      </c>
      <c r="E19" s="251">
        <v>141.36716000000001</v>
      </c>
      <c r="F19" s="251">
        <v>116.04433</v>
      </c>
      <c r="G19" s="251">
        <v>76.571330000000003</v>
      </c>
      <c r="H19" s="258">
        <f t="shared" ref="H19" si="12">SUM(B19:G19)</f>
        <v>492.08552000000003</v>
      </c>
      <c r="I19" s="261">
        <v>492.08551999999997</v>
      </c>
    </row>
    <row r="20" spans="1:10" x14ac:dyDescent="0.25">
      <c r="A20" t="s">
        <v>104</v>
      </c>
      <c r="B20" s="251">
        <v>16.796119999999998</v>
      </c>
      <c r="C20" s="251">
        <v>7.7723199999999997</v>
      </c>
      <c r="D20" s="251">
        <v>12.58062</v>
      </c>
      <c r="E20" s="251">
        <v>131.10853</v>
      </c>
      <c r="F20" s="251">
        <v>41.134030000000003</v>
      </c>
      <c r="G20" s="251">
        <f>13.33809+0.00477</f>
        <v>13.34286</v>
      </c>
      <c r="H20" s="258">
        <f>SUM(B20:G20)</f>
        <v>222.73447999999999</v>
      </c>
      <c r="I20" s="261">
        <v>222.73447999999999</v>
      </c>
      <c r="J20" s="262">
        <f>I20-H20</f>
        <v>0</v>
      </c>
    </row>
    <row r="21" spans="1:10" x14ac:dyDescent="0.25">
      <c r="A21" t="s">
        <v>105</v>
      </c>
      <c r="B21" s="246">
        <f t="shared" ref="B21:G21" si="13">B16-B17-B18</f>
        <v>104.20172400000007</v>
      </c>
      <c r="C21" s="246">
        <f t="shared" si="13"/>
        <v>40.323730000000062</v>
      </c>
      <c r="D21" s="246">
        <f t="shared" si="13"/>
        <v>106.802706</v>
      </c>
      <c r="E21" s="246">
        <f t="shared" si="13"/>
        <v>263.08145399999989</v>
      </c>
      <c r="F21" s="246">
        <f t="shared" si="13"/>
        <v>213.5637360000004</v>
      </c>
      <c r="G21" s="246">
        <f t="shared" si="13"/>
        <v>33.699485999999993</v>
      </c>
      <c r="H21" s="243">
        <f t="shared" si="9"/>
        <v>761.67283600000042</v>
      </c>
      <c r="I21" s="244"/>
    </row>
    <row r="22" spans="1:10" x14ac:dyDescent="0.25">
      <c r="A22" t="s">
        <v>106</v>
      </c>
      <c r="B22" s="263">
        <v>63.84</v>
      </c>
      <c r="C22" s="263">
        <v>12.02</v>
      </c>
      <c r="D22" s="263">
        <v>42.3</v>
      </c>
      <c r="E22" s="263">
        <v>115.12</v>
      </c>
      <c r="F22" s="263">
        <v>94.52</v>
      </c>
      <c r="G22" s="263">
        <v>16.203399999999998</v>
      </c>
      <c r="H22" s="255">
        <f t="shared" si="9"/>
        <v>344.0034</v>
      </c>
      <c r="J22" s="264">
        <f>H22-I23</f>
        <v>274.85390000000001</v>
      </c>
    </row>
    <row r="23" spans="1:10" x14ac:dyDescent="0.25">
      <c r="B23" s="251">
        <f t="shared" ref="B23:G23" si="14">B9*8.59</f>
        <v>69.149500000000003</v>
      </c>
      <c r="C23" s="251">
        <f t="shared" si="14"/>
        <v>13.056799999999999</v>
      </c>
      <c r="D23" s="251">
        <f t="shared" si="14"/>
        <v>45.784700000000001</v>
      </c>
      <c r="E23" s="251">
        <f t="shared" si="14"/>
        <v>124.7268</v>
      </c>
      <c r="F23" s="251">
        <f t="shared" si="14"/>
        <v>102.8223</v>
      </c>
      <c r="G23" s="251">
        <f t="shared" si="14"/>
        <v>17.094100000000001</v>
      </c>
      <c r="H23" s="255">
        <f t="shared" si="9"/>
        <v>372.63420000000002</v>
      </c>
      <c r="I23" s="248">
        <f>'Сводка затрат'!G23</f>
        <v>69.149500000000003</v>
      </c>
      <c r="J23" s="264"/>
    </row>
    <row r="24" spans="1:10" x14ac:dyDescent="0.25">
      <c r="A24">
        <v>2.16</v>
      </c>
      <c r="B24" s="251">
        <f>(B17/1.03+B23)*2.16%</f>
        <v>15.01149672</v>
      </c>
      <c r="C24" s="251">
        <f t="shared" ref="C24:G24" si="15">(C17/1.03+C23)*2.16%</f>
        <v>12.352927679999999</v>
      </c>
      <c r="D24" s="251">
        <f t="shared" si="15"/>
        <v>28.057438800000003</v>
      </c>
      <c r="E24" s="251">
        <f t="shared" si="15"/>
        <v>61.663291200000003</v>
      </c>
      <c r="F24" s="251">
        <f t="shared" si="15"/>
        <v>50.203996559999986</v>
      </c>
      <c r="G24" s="251">
        <f t="shared" si="15"/>
        <v>6.5328098400000005</v>
      </c>
      <c r="H24" s="265">
        <f t="shared" si="9"/>
        <v>173.8219608</v>
      </c>
      <c r="I24" s="266">
        <f>'Сводка затрат'!G29</f>
        <v>15.01149672</v>
      </c>
    </row>
    <row r="25" spans="1:10" x14ac:dyDescent="0.25">
      <c r="A25">
        <v>2.14</v>
      </c>
      <c r="B25" s="251">
        <f>(B17/1.03+B23)*2.14%</f>
        <v>14.872501380000001</v>
      </c>
      <c r="C25" s="251">
        <f t="shared" ref="C25:G25" si="16">(C17/1.03+C23)*2.14%</f>
        <v>12.238548719999999</v>
      </c>
      <c r="D25" s="251">
        <f t="shared" si="16"/>
        <v>27.797647700000002</v>
      </c>
      <c r="E25" s="251">
        <f t="shared" si="16"/>
        <v>61.09233480000001</v>
      </c>
      <c r="F25" s="251">
        <f t="shared" si="16"/>
        <v>49.739144739999993</v>
      </c>
      <c r="G25" s="251">
        <f t="shared" si="16"/>
        <v>6.4723208600000008</v>
      </c>
      <c r="H25" s="267">
        <f t="shared" si="9"/>
        <v>172.2124982</v>
      </c>
      <c r="I25" s="268">
        <f>'Сводка затрат'!G28</f>
        <v>14.872501380000001</v>
      </c>
    </row>
    <row r="27" spans="1:10" x14ac:dyDescent="0.25">
      <c r="B27" s="251">
        <f>B17+B18*1.03+B23*1.03+B24*1.03+B25*1.03</f>
        <v>822.04295684299996</v>
      </c>
      <c r="C27" s="251">
        <f t="shared" ref="C27:F27" si="17">C17+C18*1.03+C23*1.03+C24*1.03+C25*1.03</f>
        <v>667.47131859199999</v>
      </c>
      <c r="D27" s="251">
        <f t="shared" si="17"/>
        <v>1468.0373251950002</v>
      </c>
      <c r="E27" s="251">
        <f t="shared" si="17"/>
        <v>3347.5137154800004</v>
      </c>
      <c r="F27" s="251">
        <f t="shared" si="17"/>
        <v>2658.8220193389998</v>
      </c>
      <c r="G27" s="251">
        <f>G17+G18*1.03+G23*1.03+G24*1.03+G25*1.03</f>
        <v>417.52514732100002</v>
      </c>
      <c r="H27" s="251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Расчет с НДС</vt:lpstr>
      <vt:lpstr>Сводка затрат</vt:lpstr>
      <vt:lpstr>НМЦ лота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2019-03-01T05:19:08Z</dcterms:modified>
</cp:coreProperties>
</file>